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65" windowWidth="14430" windowHeight="12750" tabRatio="447" activeTab="0"/>
  </bookViews>
  <sheets>
    <sheet name="コンテナ取扱数量(TEU)_2018" sheetId="1" r:id="rId1"/>
  </sheets>
  <externalReferences>
    <externalReference r:id="rId4"/>
  </externalReferences>
  <definedNames>
    <definedName name="HYODAI">#REF!</definedName>
    <definedName name="MEISAI">#REF!</definedName>
    <definedName name="_xlnm.Print_Area" localSheetId="0">'コンテナ取扱数量(TEU)_2018'!$A$1:$X$88</definedName>
    <definedName name="メッセージボタン">"ボタン 1"</definedName>
  </definedNames>
  <calcPr fullCalcOnLoad="1"/>
</workbook>
</file>

<file path=xl/sharedStrings.xml><?xml version="1.0" encoding="utf-8"?>
<sst xmlns="http://schemas.openxmlformats.org/spreadsheetml/2006/main" count="81" uniqueCount="47">
  <si>
    <t xml:space="preserve"> </t>
  </si>
  <si>
    <t>年間計</t>
  </si>
  <si>
    <t>空</t>
  </si>
  <si>
    <t>項　目</t>
  </si>
  <si>
    <t>合　計</t>
  </si>
  <si>
    <t>下段：対前年同期比</t>
  </si>
  <si>
    <t>１　月</t>
  </si>
  <si>
    <t>２　月</t>
  </si>
  <si>
    <t>３　月</t>
  </si>
  <si>
    <t>４　月</t>
  </si>
  <si>
    <t>５　月</t>
  </si>
  <si>
    <t>６　月</t>
  </si>
  <si>
    <t>７　月</t>
  </si>
  <si>
    <t>８　月</t>
  </si>
  <si>
    <t>９　月</t>
  </si>
  <si>
    <t>１０　月</t>
  </si>
  <si>
    <t>１１　月</t>
  </si>
  <si>
    <t>１２　月</t>
  </si>
  <si>
    <t>下半期計
（７～１２月）</t>
  </si>
  <si>
    <t>※表の見方</t>
  </si>
  <si>
    <t>（注３）数値は速報値であるため、将来修正される場合があります。</t>
  </si>
  <si>
    <t>輸移出</t>
  </si>
  <si>
    <t>輸移入</t>
  </si>
  <si>
    <t>　　　　２０フィートタイプのコンテナ１個を「１ＴＥＵ」、４０フィートタイプのコンテナ１個を「２ＴＥＵ」と数えます。</t>
  </si>
  <si>
    <r>
      <t>（注１）「ＴＥＵ」とは、２０フィートタイプのコンテナを基礎数値としてコンテナの個数を数える単位で、「</t>
    </r>
    <r>
      <rPr>
        <u val="single"/>
        <sz val="11"/>
        <rFont val="ＭＳ Ｐ明朝"/>
        <family val="1"/>
      </rPr>
      <t>T</t>
    </r>
    <r>
      <rPr>
        <sz val="11"/>
        <rFont val="ＭＳ Ｐ明朝"/>
        <family val="1"/>
      </rPr>
      <t xml:space="preserve">wenty-foot </t>
    </r>
    <r>
      <rPr>
        <u val="single"/>
        <sz val="11"/>
        <rFont val="ＭＳ Ｐ明朝"/>
        <family val="1"/>
      </rPr>
      <t>E</t>
    </r>
    <r>
      <rPr>
        <sz val="11"/>
        <rFont val="ＭＳ Ｐ明朝"/>
        <family val="1"/>
      </rPr>
      <t xml:space="preserve">quivalent </t>
    </r>
    <r>
      <rPr>
        <u val="single"/>
        <sz val="11"/>
        <rFont val="ＭＳ Ｐ明朝"/>
        <family val="1"/>
      </rPr>
      <t>Ｕ</t>
    </r>
    <r>
      <rPr>
        <sz val="11"/>
        <rFont val="ＭＳ Ｐ明朝"/>
        <family val="1"/>
      </rPr>
      <t>ｎｉｔｓ」の略です。</t>
    </r>
  </si>
  <si>
    <t>（注２）港湾調査規則により、国内の他の港湾で一旦中継（積卸し）され、外国との間で取引のあった貨物は内貿貨物に含みます。</t>
  </si>
  <si>
    <t>項目</t>
  </si>
  <si>
    <t>ＣＨＥＣＫ！（上半期＋下半期）</t>
  </si>
  <si>
    <t>輸入 計</t>
  </si>
  <si>
    <t>移出 計</t>
  </si>
  <si>
    <t>移入 計</t>
  </si>
  <si>
    <t>外貿貨物 計</t>
  </si>
  <si>
    <t>　輸出 計</t>
  </si>
  <si>
    <t>実 入</t>
  </si>
  <si>
    <t>内貿貨物 計</t>
  </si>
  <si>
    <t>合　計
（内外貿 計）</t>
  </si>
  <si>
    <t>実入　計</t>
  </si>
  <si>
    <t>空　計</t>
  </si>
  <si>
    <t>上半期計
（１-６月）</t>
  </si>
  <si>
    <t>１～２月
累　計</t>
  </si>
  <si>
    <t>《再　掲》</t>
  </si>
  <si>
    <t>累計</t>
  </si>
  <si>
    <t>累計</t>
  </si>
  <si>
    <t>中段：（2017年値）</t>
  </si>
  <si>
    <t>上段：2018年値</t>
  </si>
  <si>
    <t>※RORO船取扱いコンテナ個数入り（2016年10月から）</t>
  </si>
  <si>
    <t>清水港統計月報　＊海上コンテナ取扱数量（２０フィートコンテナ換算個数、ＴＥＵ）＊　《2018年（平成30年）12月　速報値》</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</si>
</sst>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0\)"/>
    <numFmt numFmtId="178" formatCode="\(000\)"/>
    <numFmt numFmtId="179" formatCode="0.0%"/>
    <numFmt numFmtId="180" formatCode="#,##0;[Red]\-#,##0;&quot;- &quot;"/>
    <numFmt numFmtId="181" formatCode="\(0\)"/>
    <numFmt numFmtId="182" formatCode="#,##0;[Red]\-#,##0;&quot;－&quot;"/>
    <numFmt numFmtId="183" formatCode="0_);[Red]\(0\)"/>
    <numFmt numFmtId="184" formatCode="#,##0_ "/>
    <numFmt numFmtId="185" formatCode="#,##0_ ;[Red]\-#,##0\ "/>
    <numFmt numFmtId="186" formatCode="\(0.0%\)"/>
    <numFmt numFmtId="187" formatCode="#,##0_);[Red]\(#,##0\)"/>
    <numFmt numFmtId="188" formatCode="#,##0;[Red]\-#,##0;&quot;(-) &quot;"/>
    <numFmt numFmtId="189" formatCode="#,##0;[Red]\-#,##0;&quot;(-)&quot;"/>
    <numFmt numFmtId="190" formatCode="\(\-\)"/>
    <numFmt numFmtId="191" formatCode="#,##0;&quot;△ &quot;#,##0"/>
    <numFmt numFmtId="192" formatCode="#,##0.0_ "/>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0]&quot;- &quot;;#,###\ "/>
    <numFmt numFmtId="198" formatCode="[=0]&quot;- &quot;;#,##0.0\ "/>
    <numFmt numFmtId="199" formatCode="0.0_ "/>
    <numFmt numFmtId="200" formatCode="#,###"/>
    <numFmt numFmtId="201" formatCode="#,##0;[Red]#,##0"/>
    <numFmt numFmtId="202" formatCode="0_ ;[Red]\-0\ "/>
    <numFmt numFmtId="203" formatCode="mmm\-yyyy"/>
    <numFmt numFmtId="204" formatCode="0_ "/>
    <numFmt numFmtId="205" formatCode="yy\.m\.d"/>
    <numFmt numFmtId="206" formatCode="[$-411]ggge\.m\.d"/>
    <numFmt numFmtId="207" formatCode="[$-411]e\.m\.d"/>
    <numFmt numFmtId="208" formatCode="#,###,###"/>
    <numFmt numFmtId="209" formatCode="[$-411]g&quot; &quot;e/m/d\ &quot;作成&quot;"/>
    <numFmt numFmtId="210" formatCode="0_);\(0\)"/>
    <numFmt numFmtId="211" formatCode="00"/>
    <numFmt numFmtId="212" formatCode="00&quot;0&quot;"/>
    <numFmt numFmtId="213" formatCode="0.0_ ;[Red]\-0.0\ "/>
    <numFmt numFmtId="214" formatCode="000"/>
    <numFmt numFmtId="215" formatCode="0.00_ "/>
    <numFmt numFmtId="216" formatCode="0.000_ "/>
    <numFmt numFmtId="217" formatCode="#,##0.000_ ;[Red]\-#,##0.000\ "/>
    <numFmt numFmtId="218" formatCode="#,##0.0_ ;[Red]\-#,##0.0\ "/>
    <numFmt numFmtId="219" formatCode="#,##0.000;[Red]\-#,##0.000"/>
    <numFmt numFmtId="220" formatCode="#,##0.000_ "/>
    <numFmt numFmtId="221" formatCode="#,##0.000000000000000_ ;[Red]\-#,##0.000000000000000\ "/>
    <numFmt numFmtId="222" formatCode="#,##0.0;[Red]\-#,##0.0"/>
    <numFmt numFmtId="223" formatCode="yyyy&quot;年&quot;m&quot;月&quot;;@"/>
    <numFmt numFmtId="224" formatCode="&quot;平&quot;&quot;成&quot;&quot;年&quot;m&quot;月&quot;"/>
    <numFmt numFmtId="225" formatCode="&quot;平&quot;&quot;成&quot;yy&quot;年&quot;m&quot;月&quot;"/>
    <numFmt numFmtId="226" formatCode="#,##0_);\(#,##0\)"/>
    <numFmt numFmtId="227" formatCode="\(#,##0\)"/>
    <numFmt numFmtId="228" formatCode="\(\,000\)"/>
    <numFmt numFmtId="229" formatCode="\(#,###\)"/>
  </numFmts>
  <fonts count="57">
    <font>
      <sz val="11"/>
      <name val="ＭＳ Ｐゴシック"/>
      <family val="3"/>
    </font>
    <font>
      <sz val="6"/>
      <name val="ＭＳ Ｐゴシック"/>
      <family val="3"/>
    </font>
    <font>
      <sz val="13.5"/>
      <name val="System"/>
      <family val="0"/>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2"/>
      <name val="ＭＳ Ｐゴシック"/>
      <family val="3"/>
    </font>
    <font>
      <b/>
      <i/>
      <sz val="10"/>
      <color indexed="48"/>
      <name val="ＭＳ Ｐ明朝"/>
      <family val="1"/>
    </font>
    <font>
      <u val="single"/>
      <sz val="11"/>
      <name val="ＭＳ Ｐ明朝"/>
      <family val="1"/>
    </font>
    <font>
      <b/>
      <sz val="14"/>
      <name val="ＭＳ Ｐ明朝"/>
      <family val="1"/>
    </font>
    <font>
      <b/>
      <sz val="12"/>
      <color indexed="12"/>
      <name val="ＭＳ Ｐゴシック"/>
      <family val="3"/>
    </font>
    <font>
      <b/>
      <sz val="12"/>
      <color indexed="10"/>
      <name val="ＭＳ Ｐゴシック"/>
      <family val="3"/>
    </font>
    <font>
      <sz val="14"/>
      <name val="ＭＳ 明朝"/>
      <family val="1"/>
    </font>
    <font>
      <sz val="11"/>
      <color indexed="9"/>
      <name val="ＭＳ Ｐゴシック"/>
      <family val="3"/>
    </font>
    <font>
      <sz val="11"/>
      <color indexed="22"/>
      <name val="ＭＳ Ｐ明朝"/>
      <family val="1"/>
    </font>
    <font>
      <sz val="8"/>
      <color indexed="22"/>
      <name val="ＭＳ Ｐ明朝"/>
      <family val="1"/>
    </font>
    <font>
      <sz val="12"/>
      <color indexed="22"/>
      <name val="ＭＳ Ｐ明朝"/>
      <family val="1"/>
    </font>
    <font>
      <sz val="11"/>
      <color indexed="22"/>
      <name val="ＭＳ Ｐゴシック"/>
      <family val="3"/>
    </font>
    <font>
      <sz val="11"/>
      <color indexed="8"/>
      <name val="ＭＳ Ｐ明朝"/>
      <family val="1"/>
    </font>
    <font>
      <sz val="12"/>
      <color indexed="8"/>
      <name val="ＭＳ Ｐ明朝"/>
      <family val="1"/>
    </font>
    <font>
      <sz val="11"/>
      <color indexed="8"/>
      <name val="ＭＳ Ｐゴシック"/>
      <family val="3"/>
    </font>
    <font>
      <b/>
      <sz val="11"/>
      <name val="ＭＳ Ｐゴシック"/>
      <family val="3"/>
    </font>
    <font>
      <b/>
      <sz val="14"/>
      <color indexed="10"/>
      <name val="ＭＳ Ｐ明朝"/>
      <family val="1"/>
    </font>
    <font>
      <sz val="11"/>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33">
    <border>
      <left/>
      <right/>
      <top/>
      <bottom/>
      <diagonal/>
    </border>
    <border>
      <left style="thin">
        <color indexed="8"/>
      </left>
      <right>
        <color indexed="63"/>
      </right>
      <top style="thin">
        <color indexed="8"/>
      </top>
      <bottom style="thin">
        <color indexed="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double"/>
      <right style="double"/>
      <top style="double"/>
      <bottom>
        <color indexed="63"/>
      </bottom>
    </border>
    <border>
      <left>
        <color indexed="63"/>
      </left>
      <right style="thin"/>
      <top style="thin"/>
      <bottom>
        <color indexed="63"/>
      </bottom>
    </border>
    <border>
      <left style="thin"/>
      <right style="thin"/>
      <top style="thin"/>
      <bottom style="thin"/>
    </border>
    <border>
      <left style="double"/>
      <right style="double"/>
      <top style="thin"/>
      <bottom>
        <color indexed="63"/>
      </bottom>
    </border>
    <border>
      <left style="double"/>
      <right style="double"/>
      <top>
        <color indexed="63"/>
      </top>
      <bottom style="hair"/>
    </border>
    <border>
      <left style="double"/>
      <right style="double"/>
      <top>
        <color indexed="63"/>
      </top>
      <bottom>
        <color indexed="63"/>
      </bottom>
    </border>
    <border>
      <left style="double"/>
      <right style="double"/>
      <top>
        <color indexed="63"/>
      </top>
      <bottom style="thin"/>
    </border>
    <border>
      <left style="double"/>
      <right style="double"/>
      <top>
        <color indexed="63"/>
      </top>
      <bottom style="double"/>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1">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2"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3" applyNumberFormat="0" applyFont="0" applyAlignment="0" applyProtection="0"/>
    <xf numFmtId="0" fontId="45" fillId="0" borderId="4" applyNumberFormat="0" applyFill="0" applyAlignment="0" applyProtection="0"/>
    <xf numFmtId="0" fontId="46" fillId="29" borderId="0" applyNumberFormat="0" applyBorder="0" applyAlignment="0" applyProtection="0"/>
    <xf numFmtId="0" fontId="47" fillId="30" borderId="5"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10"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5" applyNumberFormat="0" applyAlignment="0" applyProtection="0"/>
    <xf numFmtId="0" fontId="0" fillId="0" borderId="0">
      <alignment/>
      <protection/>
    </xf>
    <xf numFmtId="0" fontId="4" fillId="0" borderId="0" applyNumberFormat="0" applyFill="0" applyBorder="0" applyAlignment="0" applyProtection="0"/>
    <xf numFmtId="0" fontId="13" fillId="0" borderId="0">
      <alignment/>
      <protection/>
    </xf>
    <xf numFmtId="0" fontId="56" fillId="32" borderId="0" applyNumberFormat="0" applyBorder="0" applyAlignment="0" applyProtection="0"/>
  </cellStyleXfs>
  <cellXfs count="220">
    <xf numFmtId="0" fontId="0" fillId="0" borderId="0" xfId="0" applyAlignment="1">
      <alignment vertical="center"/>
    </xf>
    <xf numFmtId="0" fontId="0" fillId="0" borderId="0" xfId="0" applyFill="1" applyAlignment="1">
      <alignment vertical="center"/>
    </xf>
    <xf numFmtId="0" fontId="5" fillId="0" borderId="0" xfId="63" applyFont="1">
      <alignment/>
      <protection/>
    </xf>
    <xf numFmtId="0" fontId="5" fillId="0" borderId="0" xfId="63" applyFont="1" applyFill="1">
      <alignment/>
      <protection/>
    </xf>
    <xf numFmtId="0" fontId="5" fillId="0" borderId="0" xfId="63" applyFont="1" applyAlignment="1">
      <alignment horizontal="right"/>
      <protection/>
    </xf>
    <xf numFmtId="179" fontId="0" fillId="0" borderId="11" xfId="51" applyNumberFormat="1" applyFill="1" applyBorder="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179" fontId="0" fillId="0" borderId="12" xfId="51" applyNumberFormat="1" applyFill="1" applyBorder="1" applyAlignment="1">
      <alignment horizontal="right" vertical="center"/>
    </xf>
    <xf numFmtId="179" fontId="0" fillId="0" borderId="13" xfId="51" applyNumberFormat="1" applyBorder="1" applyAlignment="1">
      <alignment horizontal="right" vertical="center"/>
    </xf>
    <xf numFmtId="179" fontId="0" fillId="0" borderId="13" xfId="51" applyNumberFormat="1" applyFill="1" applyBorder="1" applyAlignment="1">
      <alignment horizontal="right" vertical="center"/>
    </xf>
    <xf numFmtId="0" fontId="5" fillId="0" borderId="0" xfId="63" applyFont="1" applyBorder="1" applyAlignment="1">
      <alignment horizontal="center"/>
      <protection/>
    </xf>
    <xf numFmtId="0" fontId="5" fillId="0" borderId="0" xfId="0" applyFont="1" applyAlignment="1">
      <alignment/>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38" fontId="5" fillId="0" borderId="0" xfId="51" applyFont="1" applyAlignment="1">
      <alignment vertical="center"/>
    </xf>
    <xf numFmtId="0" fontId="10" fillId="0" borderId="0" xfId="63" applyFont="1">
      <alignment/>
      <protection/>
    </xf>
    <xf numFmtId="179" fontId="0" fillId="0" borderId="11" xfId="51" applyNumberFormat="1" applyFont="1" applyFill="1" applyBorder="1" applyAlignment="1">
      <alignment vertical="center"/>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187" fontId="0" fillId="0" borderId="16" xfId="51" applyNumberFormat="1" applyFill="1" applyBorder="1" applyAlignment="1">
      <alignment vertical="center"/>
    </xf>
    <xf numFmtId="187" fontId="0" fillId="0" borderId="12" xfId="51" applyNumberFormat="1" applyFill="1" applyBorder="1" applyAlignment="1">
      <alignment vertical="center"/>
    </xf>
    <xf numFmtId="187" fontId="0" fillId="0" borderId="16" xfId="51" applyNumberFormat="1" applyFont="1" applyFill="1" applyBorder="1" applyAlignment="1">
      <alignment vertical="center"/>
    </xf>
    <xf numFmtId="179" fontId="0" fillId="0" borderId="17" xfId="51" applyNumberFormat="1" applyFont="1" applyFill="1" applyBorder="1" applyAlignment="1">
      <alignment vertical="center"/>
    </xf>
    <xf numFmtId="0" fontId="6" fillId="35" borderId="18"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179" fontId="0" fillId="33" borderId="12" xfId="51" applyNumberFormat="1" applyFill="1" applyBorder="1" applyAlignment="1">
      <alignment vertical="center"/>
    </xf>
    <xf numFmtId="179" fontId="0" fillId="34" borderId="12" xfId="51" applyNumberFormat="1" applyFill="1" applyBorder="1" applyAlignment="1">
      <alignment vertical="center"/>
    </xf>
    <xf numFmtId="187" fontId="0" fillId="0" borderId="16" xfId="0" applyNumberFormat="1" applyFill="1" applyBorder="1" applyAlignment="1">
      <alignment horizontal="right" vertical="center"/>
    </xf>
    <xf numFmtId="187" fontId="0" fillId="0" borderId="0" xfId="0" applyNumberFormat="1" applyAlignment="1">
      <alignment vertical="center"/>
    </xf>
    <xf numFmtId="187" fontId="0" fillId="0" borderId="0" xfId="0" applyNumberFormat="1" applyBorder="1" applyAlignment="1">
      <alignment vertical="center"/>
    </xf>
    <xf numFmtId="187" fontId="0" fillId="33" borderId="12" xfId="51" applyNumberFormat="1" applyFill="1" applyBorder="1" applyAlignment="1">
      <alignment vertical="center"/>
    </xf>
    <xf numFmtId="187" fontId="5" fillId="33" borderId="14" xfId="0" applyNumberFormat="1" applyFont="1" applyFill="1" applyBorder="1" applyAlignment="1">
      <alignment horizontal="center" vertical="center" wrapText="1"/>
    </xf>
    <xf numFmtId="187" fontId="0" fillId="34" borderId="12" xfId="51" applyNumberFormat="1" applyFill="1" applyBorder="1" applyAlignment="1">
      <alignment vertical="center"/>
    </xf>
    <xf numFmtId="187" fontId="5" fillId="34" borderId="14" xfId="0" applyNumberFormat="1" applyFont="1" applyFill="1" applyBorder="1" applyAlignment="1">
      <alignment horizontal="center" vertical="center" wrapText="1"/>
    </xf>
    <xf numFmtId="187" fontId="0" fillId="0" borderId="12" xfId="51" applyNumberFormat="1" applyFont="1" applyFill="1" applyBorder="1" applyAlignment="1">
      <alignment vertical="center"/>
    </xf>
    <xf numFmtId="0" fontId="14" fillId="0" borderId="0" xfId="0" applyFont="1" applyAlignment="1">
      <alignment vertical="center"/>
    </xf>
    <xf numFmtId="187" fontId="0" fillId="0" borderId="12" xfId="0" applyNumberFormat="1" applyFont="1" applyFill="1" applyBorder="1" applyAlignment="1">
      <alignment horizontal="right" vertical="center" shrinkToFit="1"/>
    </xf>
    <xf numFmtId="187" fontId="0" fillId="36" borderId="16" xfId="51" applyNumberFormat="1" applyFill="1" applyBorder="1" applyAlignment="1">
      <alignment vertical="center"/>
    </xf>
    <xf numFmtId="179" fontId="0" fillId="36" borderId="12" xfId="51" applyNumberFormat="1" applyFill="1" applyBorder="1" applyAlignment="1">
      <alignment horizontal="right" vertical="center"/>
    </xf>
    <xf numFmtId="187" fontId="0" fillId="37" borderId="12" xfId="51" applyNumberFormat="1" applyFill="1" applyBorder="1" applyAlignment="1">
      <alignment vertical="center"/>
    </xf>
    <xf numFmtId="179" fontId="0" fillId="37" borderId="12" xfId="51" applyNumberFormat="1" applyFill="1" applyBorder="1" applyAlignment="1">
      <alignment horizontal="right" vertical="center"/>
    </xf>
    <xf numFmtId="0" fontId="8" fillId="35" borderId="21" xfId="63" applyFont="1" applyFill="1" applyBorder="1" applyAlignment="1">
      <alignment horizontal="center" vertical="center" wrapText="1"/>
      <protection/>
    </xf>
    <xf numFmtId="187" fontId="0" fillId="0" borderId="18" xfId="51" applyNumberFormat="1" applyFont="1" applyFill="1" applyBorder="1" applyAlignment="1">
      <alignment vertical="center"/>
    </xf>
    <xf numFmtId="187" fontId="0" fillId="0" borderId="14" xfId="51" applyNumberFormat="1" applyFont="1" applyFill="1" applyBorder="1" applyAlignment="1">
      <alignment vertical="center"/>
    </xf>
    <xf numFmtId="187" fontId="0" fillId="0" borderId="14" xfId="0" applyNumberFormat="1" applyFont="1" applyFill="1" applyBorder="1" applyAlignment="1">
      <alignment horizontal="right" vertical="center" shrinkToFit="1"/>
    </xf>
    <xf numFmtId="0" fontId="16" fillId="0" borderId="0" xfId="63" applyFont="1" applyFill="1" applyAlignment="1">
      <alignment horizontal="left"/>
      <protection/>
    </xf>
    <xf numFmtId="0" fontId="15" fillId="0" borderId="0" xfId="63" applyFont="1" applyFill="1">
      <alignment/>
      <protection/>
    </xf>
    <xf numFmtId="41" fontId="18" fillId="0" borderId="16" xfId="0" applyNumberFormat="1" applyFont="1" applyFill="1" applyBorder="1" applyAlignment="1">
      <alignment horizontal="right" vertical="center" shrinkToFit="1"/>
    </xf>
    <xf numFmtId="179" fontId="18" fillId="0" borderId="12" xfId="51" applyNumberFormat="1" applyFont="1" applyFill="1" applyBorder="1" applyAlignment="1">
      <alignment vertical="center"/>
    </xf>
    <xf numFmtId="179" fontId="18" fillId="0" borderId="11" xfId="51" applyNumberFormat="1" applyFont="1" applyFill="1" applyBorder="1" applyAlignment="1">
      <alignment vertical="center"/>
    </xf>
    <xf numFmtId="179" fontId="18" fillId="0" borderId="17" xfId="51" applyNumberFormat="1" applyFont="1" applyFill="1" applyBorder="1" applyAlignment="1">
      <alignment vertical="center"/>
    </xf>
    <xf numFmtId="41" fontId="18" fillId="0" borderId="12" xfId="0" applyNumberFormat="1" applyFont="1" applyFill="1" applyBorder="1" applyAlignment="1">
      <alignment horizontal="right" vertical="center" shrinkToFit="1"/>
    </xf>
    <xf numFmtId="177" fontId="18" fillId="0" borderId="12" xfId="51" applyNumberFormat="1" applyFont="1" applyFill="1" applyBorder="1" applyAlignment="1">
      <alignment horizontal="right" vertical="center"/>
    </xf>
    <xf numFmtId="0" fontId="18" fillId="0" borderId="0" xfId="0" applyFont="1" applyFill="1" applyAlignment="1">
      <alignment vertical="center"/>
    </xf>
    <xf numFmtId="0" fontId="17" fillId="0" borderId="16" xfId="0" applyFont="1" applyFill="1" applyBorder="1" applyAlignment="1">
      <alignment horizontal="center" vertical="center" wrapText="1"/>
    </xf>
    <xf numFmtId="179" fontId="18" fillId="0" borderId="13" xfId="51" applyNumberFormat="1" applyFont="1" applyFill="1" applyBorder="1" applyAlignment="1">
      <alignment horizontal="right" vertical="center"/>
    </xf>
    <xf numFmtId="179" fontId="18" fillId="0" borderId="12" xfId="51" applyNumberFormat="1" applyFont="1" applyFill="1" applyBorder="1" applyAlignment="1">
      <alignment horizontal="right" vertical="center"/>
    </xf>
    <xf numFmtId="179" fontId="18" fillId="0" borderId="11" xfId="51" applyNumberFormat="1" applyFont="1" applyFill="1" applyBorder="1" applyAlignment="1">
      <alignment horizontal="right" vertical="center"/>
    </xf>
    <xf numFmtId="187" fontId="18" fillId="0" borderId="16" xfId="0" applyNumberFormat="1" applyFont="1" applyFill="1" applyBorder="1" applyAlignment="1">
      <alignment horizontal="right" vertical="center" shrinkToFit="1"/>
    </xf>
    <xf numFmtId="187" fontId="18" fillId="0" borderId="12" xfId="0" applyNumberFormat="1" applyFont="1" applyFill="1" applyBorder="1" applyAlignment="1">
      <alignment horizontal="right" vertical="center" shrinkToFit="1"/>
    </xf>
    <xf numFmtId="0" fontId="19" fillId="0" borderId="0" xfId="63" applyFont="1">
      <alignment/>
      <protection/>
    </xf>
    <xf numFmtId="0" fontId="20" fillId="35" borderId="16" xfId="0" applyFont="1" applyFill="1" applyBorder="1" applyAlignment="1">
      <alignment horizontal="center" vertical="center"/>
    </xf>
    <xf numFmtId="187" fontId="21" fillId="0" borderId="20" xfId="0" applyNumberFormat="1" applyFont="1" applyBorder="1" applyAlignment="1">
      <alignment horizontal="right" vertical="center" shrinkToFit="1"/>
    </xf>
    <xf numFmtId="0" fontId="21" fillId="0" borderId="0" xfId="0" applyFont="1" applyAlignment="1">
      <alignment vertical="center"/>
    </xf>
    <xf numFmtId="0" fontId="22" fillId="0" borderId="0" xfId="0" applyFont="1" applyAlignment="1">
      <alignment vertical="center"/>
    </xf>
    <xf numFmtId="187" fontId="0" fillId="38" borderId="16" xfId="51" applyNumberFormat="1" applyFont="1" applyFill="1" applyBorder="1" applyAlignment="1">
      <alignment vertical="center"/>
    </xf>
    <xf numFmtId="187" fontId="0" fillId="38" borderId="12" xfId="51" applyNumberFormat="1" applyFont="1" applyFill="1" applyBorder="1" applyAlignment="1">
      <alignment vertical="center"/>
    </xf>
    <xf numFmtId="229" fontId="0" fillId="0" borderId="12" xfId="51" applyNumberFormat="1" applyFill="1" applyBorder="1" applyAlignment="1">
      <alignment horizontal="right" vertical="center"/>
    </xf>
    <xf numFmtId="229" fontId="0" fillId="0" borderId="0" xfId="51" applyNumberFormat="1" applyFill="1" applyBorder="1" applyAlignment="1">
      <alignment horizontal="right" vertical="center"/>
    </xf>
    <xf numFmtId="229" fontId="21" fillId="0" borderId="0" xfId="51" applyNumberFormat="1" applyFont="1" applyFill="1" applyBorder="1" applyAlignment="1">
      <alignment horizontal="right" vertical="center"/>
    </xf>
    <xf numFmtId="229" fontId="0" fillId="33" borderId="12" xfId="51" applyNumberFormat="1" applyFill="1" applyBorder="1" applyAlignment="1">
      <alignment horizontal="right" vertical="center"/>
    </xf>
    <xf numFmtId="229" fontId="0" fillId="33" borderId="0" xfId="51" applyNumberFormat="1" applyFill="1" applyBorder="1" applyAlignment="1">
      <alignment horizontal="right" vertical="center"/>
    </xf>
    <xf numFmtId="229" fontId="21" fillId="33" borderId="0" xfId="51" applyNumberFormat="1" applyFont="1" applyFill="1" applyBorder="1" applyAlignment="1">
      <alignment horizontal="right" vertical="center"/>
    </xf>
    <xf numFmtId="229" fontId="21" fillId="34" borderId="0" xfId="51" applyNumberFormat="1" applyFont="1" applyFill="1" applyBorder="1" applyAlignment="1">
      <alignment horizontal="right" vertical="center"/>
    </xf>
    <xf numFmtId="229" fontId="0" fillId="36" borderId="12" xfId="51" applyNumberFormat="1" applyFill="1" applyBorder="1" applyAlignment="1">
      <alignment horizontal="right" vertical="center"/>
    </xf>
    <xf numFmtId="229" fontId="0" fillId="36" borderId="0" xfId="51" applyNumberFormat="1" applyFill="1" applyBorder="1" applyAlignment="1">
      <alignment horizontal="right" vertical="center"/>
    </xf>
    <xf numFmtId="229" fontId="21" fillId="36" borderId="0" xfId="51" applyNumberFormat="1" applyFont="1" applyFill="1" applyBorder="1" applyAlignment="1">
      <alignment horizontal="right" vertical="center"/>
    </xf>
    <xf numFmtId="229" fontId="0" fillId="37" borderId="12" xfId="51" applyNumberFormat="1" applyFill="1" applyBorder="1" applyAlignment="1">
      <alignment horizontal="right" vertical="center"/>
    </xf>
    <xf numFmtId="229" fontId="0" fillId="37" borderId="0" xfId="51" applyNumberFormat="1" applyFill="1" applyBorder="1" applyAlignment="1">
      <alignment horizontal="right" vertical="center"/>
    </xf>
    <xf numFmtId="229" fontId="21" fillId="37" borderId="0" xfId="51" applyNumberFormat="1" applyFont="1" applyFill="1" applyBorder="1" applyAlignment="1">
      <alignment horizontal="right" vertical="center"/>
    </xf>
    <xf numFmtId="187" fontId="0" fillId="0" borderId="16" xfId="0" applyNumberFormat="1" applyFont="1" applyBorder="1" applyAlignment="1">
      <alignment horizontal="right" vertical="center" shrinkToFit="1"/>
    </xf>
    <xf numFmtId="179" fontId="0" fillId="0" borderId="12" xfId="51" applyNumberFormat="1" applyFont="1" applyFill="1" applyBorder="1" applyAlignment="1">
      <alignment vertical="center"/>
    </xf>
    <xf numFmtId="187" fontId="0" fillId="0" borderId="22" xfId="0" applyNumberFormat="1" applyFont="1" applyFill="1" applyBorder="1" applyAlignment="1">
      <alignment horizontal="right" vertical="center" shrinkToFit="1"/>
    </xf>
    <xf numFmtId="187" fontId="0" fillId="0" borderId="16" xfId="0" applyNumberFormat="1" applyFont="1" applyFill="1" applyBorder="1" applyAlignment="1">
      <alignment horizontal="right" vertical="center" shrinkToFit="1"/>
    </xf>
    <xf numFmtId="179" fontId="0" fillId="38" borderId="17" xfId="51" applyNumberFormat="1" applyFont="1" applyFill="1" applyBorder="1" applyAlignment="1">
      <alignment vertical="center"/>
    </xf>
    <xf numFmtId="179" fontId="0" fillId="0" borderId="23" xfId="51" applyNumberFormat="1" applyFont="1" applyFill="1" applyBorder="1" applyAlignment="1">
      <alignment vertical="center"/>
    </xf>
    <xf numFmtId="187" fontId="0" fillId="0" borderId="24" xfId="0" applyNumberFormat="1" applyFont="1" applyFill="1" applyBorder="1" applyAlignment="1">
      <alignment horizontal="right" vertical="center" shrinkToFit="1"/>
    </xf>
    <xf numFmtId="179" fontId="0" fillId="0" borderId="25" xfId="51" applyNumberFormat="1" applyFont="1" applyFill="1" applyBorder="1" applyAlignment="1">
      <alignment vertical="center"/>
    </xf>
    <xf numFmtId="177" fontId="0" fillId="0" borderId="12" xfId="51" applyNumberFormat="1" applyFont="1" applyFill="1" applyBorder="1" applyAlignment="1">
      <alignment horizontal="right" vertical="center"/>
    </xf>
    <xf numFmtId="187" fontId="0" fillId="34" borderId="12" xfId="51" applyNumberFormat="1" applyFont="1" applyFill="1" applyBorder="1" applyAlignment="1">
      <alignment vertical="center"/>
    </xf>
    <xf numFmtId="179" fontId="0" fillId="0" borderId="26" xfId="51" applyNumberFormat="1" applyFont="1" applyFill="1" applyBorder="1" applyAlignment="1">
      <alignment vertical="center"/>
    </xf>
    <xf numFmtId="0" fontId="0" fillId="0" borderId="0" xfId="0" applyFont="1" applyAlignment="1">
      <alignment vertical="center"/>
    </xf>
    <xf numFmtId="187" fontId="0" fillId="0" borderId="18" xfId="0" applyNumberFormat="1" applyFont="1" applyBorder="1" applyAlignment="1">
      <alignment horizontal="right" vertical="center" shrinkToFit="1"/>
    </xf>
    <xf numFmtId="187" fontId="0" fillId="0" borderId="20" xfId="0" applyNumberFormat="1" applyFont="1" applyBorder="1" applyAlignment="1">
      <alignment horizontal="right" vertical="center" shrinkToFit="1"/>
    </xf>
    <xf numFmtId="187" fontId="0" fillId="0" borderId="20" xfId="0" applyNumberFormat="1" applyFont="1" applyFill="1" applyBorder="1" applyAlignment="1">
      <alignment horizontal="right" vertical="center" shrinkToFit="1"/>
    </xf>
    <xf numFmtId="229" fontId="0" fillId="0" borderId="12" xfId="51" applyNumberFormat="1" applyFont="1" applyFill="1" applyBorder="1" applyAlignment="1">
      <alignment horizontal="right" vertical="center"/>
    </xf>
    <xf numFmtId="229" fontId="0" fillId="0" borderId="0" xfId="51" applyNumberFormat="1" applyFont="1" applyFill="1" applyBorder="1" applyAlignment="1">
      <alignment horizontal="right" vertical="center"/>
    </xf>
    <xf numFmtId="229" fontId="0" fillId="0" borderId="14" xfId="51" applyNumberFormat="1" applyFont="1" applyFill="1" applyBorder="1" applyAlignment="1">
      <alignment horizontal="right" vertical="center"/>
    </xf>
    <xf numFmtId="229" fontId="0" fillId="0" borderId="24" xfId="51" applyNumberFormat="1" applyFont="1" applyFill="1" applyBorder="1" applyAlignment="1">
      <alignment horizontal="right" vertical="center"/>
    </xf>
    <xf numFmtId="177" fontId="0" fillId="0" borderId="27" xfId="51" applyNumberFormat="1" applyFont="1" applyFill="1" applyBorder="1" applyAlignment="1">
      <alignment horizontal="right" vertical="center"/>
    </xf>
    <xf numFmtId="179" fontId="0" fillId="0" borderId="26" xfId="51" applyNumberFormat="1" applyFont="1" applyBorder="1" applyAlignment="1">
      <alignment horizontal="right" vertical="center"/>
    </xf>
    <xf numFmtId="179" fontId="0" fillId="0" borderId="13" xfId="51" applyNumberFormat="1" applyFont="1" applyBorder="1" applyAlignment="1">
      <alignment horizontal="right" vertical="center"/>
    </xf>
    <xf numFmtId="187" fontId="0" fillId="0" borderId="27" xfId="0" applyNumberFormat="1" applyFont="1" applyFill="1" applyBorder="1" applyAlignment="1">
      <alignment horizontal="right" vertical="center" shrinkToFit="1"/>
    </xf>
    <xf numFmtId="179" fontId="0" fillId="0" borderId="24" xfId="51" applyNumberFormat="1" applyFont="1" applyFill="1" applyBorder="1" applyAlignment="1">
      <alignment horizontal="right" vertical="center"/>
    </xf>
    <xf numFmtId="179" fontId="0" fillId="0" borderId="12" xfId="51" applyNumberFormat="1" applyFont="1" applyFill="1" applyBorder="1" applyAlignment="1">
      <alignment horizontal="right" vertical="center"/>
    </xf>
    <xf numFmtId="179" fontId="0" fillId="0" borderId="25" xfId="51" applyNumberFormat="1" applyFont="1" applyFill="1" applyBorder="1" applyAlignment="1">
      <alignment horizontal="right" vertical="center"/>
    </xf>
    <xf numFmtId="179" fontId="0" fillId="0" borderId="11" xfId="51" applyNumberFormat="1" applyFont="1" applyFill="1" applyBorder="1" applyAlignment="1">
      <alignment horizontal="right" vertical="center"/>
    </xf>
    <xf numFmtId="179" fontId="0" fillId="0" borderId="26" xfId="51" applyNumberFormat="1" applyFont="1" applyFill="1" applyBorder="1" applyAlignment="1">
      <alignment horizontal="right" vertical="center"/>
    </xf>
    <xf numFmtId="179" fontId="0" fillId="0" borderId="13" xfId="51" applyNumberFormat="1" applyFont="1" applyFill="1" applyBorder="1" applyAlignment="1">
      <alignment horizontal="right" vertical="center"/>
    </xf>
    <xf numFmtId="187" fontId="0" fillId="33" borderId="24" xfId="0" applyNumberFormat="1" applyFont="1" applyFill="1" applyBorder="1" applyAlignment="1">
      <alignment horizontal="right" vertical="center" shrinkToFit="1"/>
    </xf>
    <xf numFmtId="187" fontId="0" fillId="33" borderId="12" xfId="0" applyNumberFormat="1" applyFont="1" applyFill="1" applyBorder="1" applyAlignment="1">
      <alignment horizontal="right" vertical="center" shrinkToFit="1"/>
    </xf>
    <xf numFmtId="187" fontId="0" fillId="33" borderId="27" xfId="0" applyNumberFormat="1" applyFont="1" applyFill="1" applyBorder="1" applyAlignment="1">
      <alignment horizontal="right" vertical="center" shrinkToFit="1"/>
    </xf>
    <xf numFmtId="229" fontId="0" fillId="33" borderId="12" xfId="51" applyNumberFormat="1" applyFont="1" applyFill="1" applyBorder="1" applyAlignment="1">
      <alignment horizontal="right" vertical="center"/>
    </xf>
    <xf numFmtId="229" fontId="0" fillId="33" borderId="0" xfId="51" applyNumberFormat="1" applyFont="1" applyFill="1" applyBorder="1" applyAlignment="1">
      <alignment horizontal="right" vertical="center"/>
    </xf>
    <xf numFmtId="229" fontId="0" fillId="33" borderId="14" xfId="51" applyNumberFormat="1" applyFont="1" applyFill="1" applyBorder="1" applyAlignment="1">
      <alignment horizontal="right" vertical="center"/>
    </xf>
    <xf numFmtId="229" fontId="0" fillId="33" borderId="24" xfId="51" applyNumberFormat="1" applyFont="1" applyFill="1" applyBorder="1" applyAlignment="1">
      <alignment horizontal="right" vertical="center"/>
    </xf>
    <xf numFmtId="177" fontId="0" fillId="33" borderId="12" xfId="51" applyNumberFormat="1" applyFont="1" applyFill="1" applyBorder="1" applyAlignment="1">
      <alignment horizontal="right" vertical="center"/>
    </xf>
    <xf numFmtId="177" fontId="0" fillId="33" borderId="27" xfId="51" applyNumberFormat="1" applyFont="1" applyFill="1" applyBorder="1" applyAlignment="1">
      <alignment horizontal="right" vertical="center"/>
    </xf>
    <xf numFmtId="179" fontId="0" fillId="33" borderId="24" xfId="51" applyNumberFormat="1" applyFont="1" applyFill="1" applyBorder="1" applyAlignment="1">
      <alignment vertical="center"/>
    </xf>
    <xf numFmtId="179" fontId="0" fillId="33" borderId="12" xfId="51" applyNumberFormat="1" applyFont="1" applyFill="1" applyBorder="1" applyAlignment="1">
      <alignment vertical="center"/>
    </xf>
    <xf numFmtId="187" fontId="0" fillId="33" borderId="22" xfId="0" applyNumberFormat="1" applyFont="1" applyFill="1" applyBorder="1" applyAlignment="1">
      <alignment horizontal="right" vertical="center" shrinkToFit="1"/>
    </xf>
    <xf numFmtId="187" fontId="0" fillId="33" borderId="16" xfId="0" applyNumberFormat="1" applyFont="1" applyFill="1" applyBorder="1" applyAlignment="1">
      <alignment horizontal="right" vertical="center" shrinkToFit="1"/>
    </xf>
    <xf numFmtId="187" fontId="0" fillId="33" borderId="20" xfId="0" applyNumberFormat="1" applyFont="1" applyFill="1" applyBorder="1" applyAlignment="1">
      <alignment horizontal="right" vertical="center" shrinkToFit="1"/>
    </xf>
    <xf numFmtId="187" fontId="0" fillId="34" borderId="24" xfId="0" applyNumberFormat="1" applyFont="1" applyFill="1" applyBorder="1" applyAlignment="1">
      <alignment horizontal="right" vertical="center" shrinkToFit="1"/>
    </xf>
    <xf numFmtId="187" fontId="0" fillId="34" borderId="12" xfId="0" applyNumberFormat="1" applyFont="1" applyFill="1" applyBorder="1" applyAlignment="1">
      <alignment horizontal="right" vertical="center" shrinkToFit="1"/>
    </xf>
    <xf numFmtId="187" fontId="0" fillId="34" borderId="27" xfId="0" applyNumberFormat="1" applyFont="1" applyFill="1" applyBorder="1" applyAlignment="1">
      <alignment horizontal="right" vertical="center" shrinkToFit="1"/>
    </xf>
    <xf numFmtId="229" fontId="0" fillId="34" borderId="12" xfId="51" applyNumberFormat="1" applyFont="1" applyFill="1" applyBorder="1" applyAlignment="1">
      <alignment horizontal="right" vertical="center"/>
    </xf>
    <xf numFmtId="229" fontId="0" fillId="34" borderId="0" xfId="51" applyNumberFormat="1" applyFont="1" applyFill="1" applyBorder="1" applyAlignment="1">
      <alignment horizontal="right" vertical="center"/>
    </xf>
    <xf numFmtId="229" fontId="0" fillId="34" borderId="14" xfId="51" applyNumberFormat="1" applyFont="1" applyFill="1" applyBorder="1" applyAlignment="1">
      <alignment horizontal="right" vertical="center"/>
    </xf>
    <xf numFmtId="229" fontId="0" fillId="34" borderId="24" xfId="51" applyNumberFormat="1" applyFont="1" applyFill="1" applyBorder="1" applyAlignment="1">
      <alignment horizontal="right" vertical="center"/>
    </xf>
    <xf numFmtId="177" fontId="0" fillId="34" borderId="12" xfId="51" applyNumberFormat="1" applyFont="1" applyFill="1" applyBorder="1" applyAlignment="1">
      <alignment horizontal="right" vertical="center"/>
    </xf>
    <xf numFmtId="177" fontId="0" fillId="34" borderId="27" xfId="51" applyNumberFormat="1" applyFont="1" applyFill="1" applyBorder="1" applyAlignment="1">
      <alignment horizontal="right" vertical="center"/>
    </xf>
    <xf numFmtId="179" fontId="0" fillId="34" borderId="24" xfId="51" applyNumberFormat="1" applyFont="1" applyFill="1" applyBorder="1" applyAlignment="1">
      <alignment vertical="center"/>
    </xf>
    <xf numFmtId="179" fontId="0" fillId="34" borderId="12" xfId="51" applyNumberFormat="1" applyFont="1" applyFill="1" applyBorder="1" applyAlignment="1">
      <alignment vertical="center"/>
    </xf>
    <xf numFmtId="187" fontId="0" fillId="38" borderId="14" xfId="51" applyNumberFormat="1" applyFont="1" applyFill="1" applyBorder="1" applyAlignment="1">
      <alignment vertical="center"/>
    </xf>
    <xf numFmtId="178" fontId="0" fillId="0" borderId="12" xfId="51" applyNumberFormat="1" applyFont="1" applyFill="1" applyBorder="1" applyAlignment="1">
      <alignment horizontal="right" vertical="center"/>
    </xf>
    <xf numFmtId="187" fontId="0" fillId="34" borderId="22" xfId="0" applyNumberFormat="1" applyFont="1" applyFill="1" applyBorder="1" applyAlignment="1">
      <alignment horizontal="right" vertical="center" shrinkToFit="1"/>
    </xf>
    <xf numFmtId="187" fontId="0" fillId="34" borderId="16" xfId="0" applyNumberFormat="1" applyFont="1" applyFill="1" applyBorder="1" applyAlignment="1">
      <alignment horizontal="right" vertical="center" shrinkToFit="1"/>
    </xf>
    <xf numFmtId="187" fontId="0" fillId="34" borderId="20" xfId="0" applyNumberFormat="1" applyFont="1" applyFill="1" applyBorder="1" applyAlignment="1">
      <alignment horizontal="right" vertical="center" shrinkToFit="1"/>
    </xf>
    <xf numFmtId="187" fontId="0" fillId="36" borderId="22" xfId="0" applyNumberFormat="1" applyFont="1" applyFill="1" applyBorder="1" applyAlignment="1">
      <alignment horizontal="right" vertical="center" shrinkToFit="1"/>
    </xf>
    <xf numFmtId="187" fontId="0" fillId="36" borderId="16" xfId="0" applyNumberFormat="1" applyFont="1" applyFill="1" applyBorder="1" applyAlignment="1">
      <alignment horizontal="right" vertical="center" shrinkToFit="1"/>
    </xf>
    <xf numFmtId="187" fontId="0" fillId="36" borderId="20" xfId="0" applyNumberFormat="1" applyFont="1" applyFill="1" applyBorder="1" applyAlignment="1">
      <alignment horizontal="right" vertical="center" shrinkToFit="1"/>
    </xf>
    <xf numFmtId="229" fontId="0" fillId="36" borderId="12" xfId="51" applyNumberFormat="1" applyFont="1" applyFill="1" applyBorder="1" applyAlignment="1">
      <alignment horizontal="right" vertical="center"/>
    </xf>
    <xf numFmtId="229" fontId="0" fillId="36" borderId="0" xfId="51" applyNumberFormat="1" applyFont="1" applyFill="1" applyBorder="1" applyAlignment="1">
      <alignment horizontal="right" vertical="center"/>
    </xf>
    <xf numFmtId="229" fontId="0" fillId="36" borderId="14" xfId="51" applyNumberFormat="1" applyFont="1" applyFill="1" applyBorder="1" applyAlignment="1">
      <alignment horizontal="right" vertical="center"/>
    </xf>
    <xf numFmtId="229" fontId="0" fillId="36" borderId="24" xfId="51" applyNumberFormat="1" applyFont="1" applyFill="1" applyBorder="1" applyAlignment="1">
      <alignment horizontal="right" vertical="center"/>
    </xf>
    <xf numFmtId="177" fontId="0" fillId="36" borderId="12" xfId="51" applyNumberFormat="1" applyFont="1" applyFill="1" applyBorder="1" applyAlignment="1">
      <alignment horizontal="right" vertical="center"/>
    </xf>
    <xf numFmtId="177" fontId="0" fillId="36" borderId="27" xfId="51" applyNumberFormat="1" applyFont="1" applyFill="1" applyBorder="1" applyAlignment="1">
      <alignment horizontal="right" vertical="center"/>
    </xf>
    <xf numFmtId="179" fontId="0" fillId="36" borderId="24" xfId="51" applyNumberFormat="1" applyFont="1" applyFill="1" applyBorder="1" applyAlignment="1">
      <alignment horizontal="right" vertical="center"/>
    </xf>
    <xf numFmtId="179" fontId="0" fillId="36" borderId="12" xfId="51" applyNumberFormat="1" applyFont="1" applyFill="1" applyBorder="1" applyAlignment="1">
      <alignment horizontal="right" vertical="center"/>
    </xf>
    <xf numFmtId="187" fontId="0" fillId="37" borderId="24" xfId="0" applyNumberFormat="1" applyFont="1" applyFill="1" applyBorder="1" applyAlignment="1">
      <alignment horizontal="right" vertical="center" shrinkToFit="1"/>
    </xf>
    <xf numFmtId="187" fontId="0" fillId="37" borderId="12" xfId="0" applyNumberFormat="1" applyFont="1" applyFill="1" applyBorder="1" applyAlignment="1">
      <alignment horizontal="right" vertical="center" shrinkToFit="1"/>
    </xf>
    <xf numFmtId="187" fontId="0" fillId="37" borderId="27" xfId="0" applyNumberFormat="1" applyFont="1" applyFill="1" applyBorder="1" applyAlignment="1">
      <alignment horizontal="right" vertical="center" shrinkToFit="1"/>
    </xf>
    <xf numFmtId="229" fontId="0" fillId="37" borderId="12" xfId="51" applyNumberFormat="1" applyFont="1" applyFill="1" applyBorder="1" applyAlignment="1">
      <alignment horizontal="right" vertical="center"/>
    </xf>
    <xf numFmtId="229" fontId="0" fillId="37" borderId="0" xfId="51" applyNumberFormat="1" applyFont="1" applyFill="1" applyBorder="1" applyAlignment="1">
      <alignment horizontal="right" vertical="center"/>
    </xf>
    <xf numFmtId="229" fontId="0" fillId="37" borderId="14" xfId="51" applyNumberFormat="1" applyFont="1" applyFill="1" applyBorder="1" applyAlignment="1">
      <alignment horizontal="right" vertical="center"/>
    </xf>
    <xf numFmtId="229" fontId="0" fillId="37" borderId="24" xfId="51" applyNumberFormat="1" applyFont="1" applyFill="1" applyBorder="1" applyAlignment="1">
      <alignment horizontal="right" vertical="center"/>
    </xf>
    <xf numFmtId="177" fontId="0" fillId="37" borderId="12" xfId="51" applyNumberFormat="1" applyFont="1" applyFill="1" applyBorder="1" applyAlignment="1">
      <alignment horizontal="right" vertical="center"/>
    </xf>
    <xf numFmtId="177" fontId="0" fillId="37" borderId="27" xfId="51" applyNumberFormat="1" applyFont="1" applyFill="1" applyBorder="1" applyAlignment="1">
      <alignment horizontal="right" vertical="center"/>
    </xf>
    <xf numFmtId="179" fontId="0" fillId="37" borderId="24" xfId="51" applyNumberFormat="1" applyFont="1" applyFill="1" applyBorder="1" applyAlignment="1">
      <alignment horizontal="right" vertical="center"/>
    </xf>
    <xf numFmtId="179" fontId="0" fillId="37" borderId="12" xfId="51" applyNumberFormat="1" applyFont="1" applyFill="1" applyBorder="1" applyAlignment="1">
      <alignment horizontal="right" vertical="center"/>
    </xf>
    <xf numFmtId="179" fontId="0" fillId="38" borderId="11" xfId="51" applyNumberFormat="1" applyFont="1" applyFill="1" applyBorder="1" applyAlignment="1">
      <alignment vertical="center"/>
    </xf>
    <xf numFmtId="0" fontId="23" fillId="0" borderId="0" xfId="63" applyFont="1">
      <alignment/>
      <protection/>
    </xf>
    <xf numFmtId="0" fontId="24" fillId="0" borderId="0" xfId="63" applyFont="1" applyAlignment="1">
      <alignment horizontal="right"/>
      <protection/>
    </xf>
    <xf numFmtId="187" fontId="0" fillId="33" borderId="12" xfId="51" applyNumberFormat="1" applyFont="1" applyFill="1" applyBorder="1" applyAlignment="1">
      <alignment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11" fillId="36" borderId="18"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0" fillId="36" borderId="12" xfId="0" applyFill="1" applyBorder="1" applyAlignment="1">
      <alignment horizontal="center" vertical="top" wrapText="1"/>
    </xf>
    <xf numFmtId="0" fontId="0" fillId="36" borderId="11" xfId="0" applyFill="1" applyBorder="1" applyAlignment="1">
      <alignment horizontal="center" vertical="top" wrapText="1"/>
    </xf>
    <xf numFmtId="0" fontId="12" fillId="37" borderId="18" xfId="0" applyFont="1" applyFill="1" applyBorder="1" applyAlignment="1">
      <alignment horizontal="center" vertical="center" wrapText="1"/>
    </xf>
    <xf numFmtId="0" fontId="12" fillId="37" borderId="29" xfId="0" applyFont="1" applyFill="1" applyBorder="1" applyAlignment="1">
      <alignment horizontal="center" vertical="center" wrapText="1"/>
    </xf>
    <xf numFmtId="0" fontId="12" fillId="37" borderId="20" xfId="0" applyFont="1" applyFill="1" applyBorder="1" applyAlignment="1">
      <alignment horizontal="center" vertical="center" wrapText="1"/>
    </xf>
    <xf numFmtId="0" fontId="12" fillId="37" borderId="14" xfId="0" applyFont="1" applyFill="1" applyBorder="1" applyAlignment="1">
      <alignment horizontal="center" vertical="center" wrapText="1"/>
    </xf>
    <xf numFmtId="0" fontId="12" fillId="37" borderId="0" xfId="0" applyFont="1"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12" xfId="0" applyFill="1" applyBorder="1" applyAlignment="1">
      <alignment horizontal="center" vertical="top" wrapText="1"/>
    </xf>
    <xf numFmtId="0" fontId="0" fillId="37" borderId="11" xfId="0" applyFill="1" applyBorder="1" applyAlignment="1">
      <alignment horizontal="center" vertical="top"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6" fillId="0" borderId="16"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7" xfId="0" applyFont="1" applyFill="1" applyBorder="1" applyAlignment="1">
      <alignment horizontal="center" vertical="center"/>
    </xf>
    <xf numFmtId="0" fontId="6" fillId="0" borderId="32" xfId="0" applyFont="1" applyFill="1" applyBorder="1" applyAlignment="1">
      <alignment horizontal="center" vertical="center"/>
    </xf>
    <xf numFmtId="0" fontId="0" fillId="0" borderId="12" xfId="0" applyFill="1" applyBorder="1" applyAlignment="1">
      <alignment horizontal="center" vertical="top" wrapText="1"/>
    </xf>
    <xf numFmtId="0" fontId="0" fillId="0" borderId="11" xfId="0" applyFill="1" applyBorder="1" applyAlignment="1">
      <alignment horizontal="center" vertical="top" wrapText="1"/>
    </xf>
    <xf numFmtId="0" fontId="6" fillId="33" borderId="14"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20" xfId="0" applyFont="1" applyFill="1" applyBorder="1" applyAlignment="1">
      <alignment horizontal="center" vertical="center" wrapText="1"/>
    </xf>
  </cellXfs>
  <cellStyles count="53">
    <cellStyle name="Normal" xfId="0"/>
    <cellStyle name="１"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oft Excel]&#13;&#10;Comment=open=/f を指定すると、ユーザー定義関数を関数貼り付けの一覧に登録することができます。&#13;&#10;Maximized"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船種別表"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ンテナ貨物の航路別品種別表"/>
      <sheetName val="コンテナ貨物の航路別品種別表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2"/>
  </sheetPr>
  <dimension ref="A1:AK88"/>
  <sheetViews>
    <sheetView showGridLines="0" showZeros="0" tabSelected="1" view="pageBreakPreview" zoomScaleNormal="90" zoomScaleSheetLayoutView="100" zoomScalePageLayoutView="0" workbookViewId="0" topLeftCell="A1">
      <pane xSplit="3" ySplit="6" topLeftCell="D31" activePane="bottomRight" state="frozen"/>
      <selection pane="topLeft" activeCell="A1" sqref="A1"/>
      <selection pane="topRight" activeCell="D1" sqref="D1"/>
      <selection pane="bottomLeft" activeCell="A7" sqref="A7"/>
      <selection pane="bottomRight" activeCell="O60" sqref="O60"/>
    </sheetView>
  </sheetViews>
  <sheetFormatPr defaultColWidth="9.00390625" defaultRowHeight="13.5"/>
  <cols>
    <col min="1" max="2" width="4.00390625" style="0" customWidth="1"/>
    <col min="3" max="3" width="6.00390625" style="0" customWidth="1"/>
    <col min="4" max="4" width="10.125" style="0" customWidth="1"/>
    <col min="5" max="5" width="10.375" style="94" customWidth="1"/>
    <col min="6" max="7" width="10.375" style="0" customWidth="1"/>
    <col min="8" max="13" width="10.375" style="94" customWidth="1"/>
    <col min="14" max="14" width="10.375" style="66" customWidth="1"/>
    <col min="15" max="15" width="10.375" style="94" customWidth="1"/>
    <col min="16" max="17" width="10.875" style="94" customWidth="1"/>
    <col min="18" max="18" width="1.625" style="0" hidden="1" customWidth="1"/>
    <col min="19" max="19" width="10.875" style="0" hidden="1" customWidth="1"/>
    <col min="20" max="20" width="11.125" style="94" hidden="1" customWidth="1"/>
    <col min="21" max="21" width="0.5" style="94" hidden="1" customWidth="1"/>
    <col min="22" max="22" width="2.375" style="0" customWidth="1"/>
    <col min="25" max="25" width="2.375" style="0" customWidth="1"/>
    <col min="26" max="26" width="10.875" style="56" hidden="1" customWidth="1"/>
  </cols>
  <sheetData>
    <row r="1" spans="2:37" s="2" customFormat="1" ht="21" customHeight="1">
      <c r="B1" s="16"/>
      <c r="C1" s="16" t="s">
        <v>46</v>
      </c>
      <c r="N1" s="63"/>
      <c r="O1" s="165"/>
      <c r="Q1" s="166"/>
      <c r="R1"/>
      <c r="Z1" s="49"/>
      <c r="AH1" s="4"/>
      <c r="AI1" s="4"/>
      <c r="AJ1" s="4"/>
      <c r="AK1" s="4"/>
    </row>
    <row r="2" spans="2:37" s="2" customFormat="1" ht="18" customHeight="1" thickBot="1">
      <c r="B2" s="16"/>
      <c r="C2" s="3"/>
      <c r="M2" s="12"/>
      <c r="N2" s="4"/>
      <c r="Q2" s="166" t="s">
        <v>45</v>
      </c>
      <c r="R2"/>
      <c r="Z2" s="48" t="s">
        <v>27</v>
      </c>
      <c r="AH2" s="4"/>
      <c r="AI2" s="4"/>
      <c r="AJ2" s="4"/>
      <c r="AK2" s="4"/>
    </row>
    <row r="3" spans="1:26" ht="32.25" customHeight="1" thickTop="1">
      <c r="A3" s="200" t="s">
        <v>26</v>
      </c>
      <c r="B3" s="200"/>
      <c r="C3" s="201"/>
      <c r="D3" s="25" t="s">
        <v>6</v>
      </c>
      <c r="E3" s="25" t="s">
        <v>7</v>
      </c>
      <c r="F3" s="25" t="s">
        <v>8</v>
      </c>
      <c r="G3" s="25" t="s">
        <v>9</v>
      </c>
      <c r="H3" s="25" t="s">
        <v>10</v>
      </c>
      <c r="I3" s="25" t="s">
        <v>11</v>
      </c>
      <c r="J3" s="25" t="s">
        <v>12</v>
      </c>
      <c r="K3" s="25" t="s">
        <v>13</v>
      </c>
      <c r="L3" s="25" t="s">
        <v>14</v>
      </c>
      <c r="M3" s="25" t="s">
        <v>15</v>
      </c>
      <c r="N3" s="64" t="s">
        <v>16</v>
      </c>
      <c r="O3" s="24" t="s">
        <v>17</v>
      </c>
      <c r="P3" s="26" t="s">
        <v>41</v>
      </c>
      <c r="Q3" s="26" t="s">
        <v>1</v>
      </c>
      <c r="S3" s="44" t="s">
        <v>38</v>
      </c>
      <c r="T3" s="27" t="s">
        <v>18</v>
      </c>
      <c r="U3" s="27" t="s">
        <v>39</v>
      </c>
      <c r="W3" s="11" t="s">
        <v>19</v>
      </c>
      <c r="Z3" s="57" t="s">
        <v>1</v>
      </c>
    </row>
    <row r="4" spans="1:26" s="31" customFormat="1" ht="15" customHeight="1">
      <c r="A4" s="202" t="s">
        <v>35</v>
      </c>
      <c r="B4" s="203"/>
      <c r="C4" s="203"/>
      <c r="D4" s="30">
        <f aca="true" t="shared" si="0" ref="D4:Q4">D7+D34</f>
        <v>41074</v>
      </c>
      <c r="E4" s="30">
        <f t="shared" si="0"/>
        <v>43002</v>
      </c>
      <c r="F4" s="30">
        <f t="shared" si="0"/>
        <v>49209</v>
      </c>
      <c r="G4" s="30">
        <f t="shared" si="0"/>
        <v>46879</v>
      </c>
      <c r="H4" s="30">
        <f t="shared" si="0"/>
        <v>44426</v>
      </c>
      <c r="I4" s="30">
        <f t="shared" si="0"/>
        <v>49410</v>
      </c>
      <c r="J4" s="30">
        <f t="shared" si="0"/>
        <v>46708</v>
      </c>
      <c r="K4" s="95">
        <f t="shared" si="0"/>
        <v>47224</v>
      </c>
      <c r="L4" s="83">
        <f t="shared" si="0"/>
        <v>45575</v>
      </c>
      <c r="M4" s="96">
        <f t="shared" si="0"/>
        <v>53282</v>
      </c>
      <c r="N4" s="65">
        <f t="shared" si="0"/>
        <v>50952</v>
      </c>
      <c r="O4" s="95">
        <f t="shared" si="0"/>
        <v>49719</v>
      </c>
      <c r="P4" s="85">
        <f t="shared" si="0"/>
        <v>567460</v>
      </c>
      <c r="Q4" s="85">
        <f t="shared" si="0"/>
        <v>567460</v>
      </c>
      <c r="S4" s="86">
        <f aca="true" t="shared" si="1" ref="S4:U5">S7+S34</f>
        <v>413507</v>
      </c>
      <c r="T4" s="97">
        <f t="shared" si="1"/>
        <v>293460</v>
      </c>
      <c r="U4" s="97">
        <f t="shared" si="1"/>
        <v>84076</v>
      </c>
      <c r="W4" s="32" t="s">
        <v>44</v>
      </c>
      <c r="Z4" s="61" t="e">
        <f>Z7+Z34</f>
        <v>#REF!</v>
      </c>
    </row>
    <row r="5" spans="1:26" ht="15" customHeight="1">
      <c r="A5" s="204"/>
      <c r="B5" s="205"/>
      <c r="C5" s="205"/>
      <c r="D5" s="70">
        <f aca="true" t="shared" si="2" ref="D5:Q5">D8+D35</f>
        <v>40487</v>
      </c>
      <c r="E5" s="98">
        <f t="shared" si="2"/>
        <v>42371</v>
      </c>
      <c r="F5" s="71">
        <f t="shared" si="2"/>
        <v>48016</v>
      </c>
      <c r="G5" s="70">
        <f t="shared" si="2"/>
        <v>47488</v>
      </c>
      <c r="H5" s="99">
        <f>H8+H35</f>
        <v>43267</v>
      </c>
      <c r="I5" s="98">
        <f t="shared" si="2"/>
        <v>46168</v>
      </c>
      <c r="J5" s="99">
        <f t="shared" si="2"/>
        <v>46100</v>
      </c>
      <c r="K5" s="98">
        <f t="shared" si="2"/>
        <v>45336</v>
      </c>
      <c r="L5" s="99">
        <f t="shared" si="2"/>
        <v>45160</v>
      </c>
      <c r="M5" s="98">
        <f t="shared" si="2"/>
        <v>43851</v>
      </c>
      <c r="N5" s="72">
        <f t="shared" si="2"/>
        <v>45993</v>
      </c>
      <c r="O5" s="100">
        <f t="shared" si="2"/>
        <v>47303</v>
      </c>
      <c r="P5" s="101">
        <f t="shared" si="2"/>
        <v>541540</v>
      </c>
      <c r="Q5" s="101">
        <f t="shared" si="2"/>
        <v>541540</v>
      </c>
      <c r="S5" s="91">
        <f t="shared" si="1"/>
        <v>267797</v>
      </c>
      <c r="T5" s="102">
        <f t="shared" si="1"/>
        <v>273743</v>
      </c>
      <c r="U5" s="102">
        <f t="shared" si="1"/>
        <v>82858</v>
      </c>
      <c r="W5" t="s">
        <v>43</v>
      </c>
      <c r="Z5" s="55" t="e">
        <f>Z8+Z35</f>
        <v>#REF!</v>
      </c>
    </row>
    <row r="6" spans="1:26" ht="15" customHeight="1" thickBot="1">
      <c r="A6" s="206"/>
      <c r="B6" s="207"/>
      <c r="C6" s="207"/>
      <c r="D6" s="9">
        <f aca="true" t="shared" si="3" ref="D6:Q6">D4/D5</f>
        <v>1.0144984809938993</v>
      </c>
      <c r="E6" s="9">
        <f t="shared" si="3"/>
        <v>1.014892261216398</v>
      </c>
      <c r="F6" s="9">
        <f t="shared" si="3"/>
        <v>1.0248458847050983</v>
      </c>
      <c r="G6" s="9">
        <f t="shared" si="3"/>
        <v>0.9871757075471698</v>
      </c>
      <c r="H6" s="9">
        <f t="shared" si="3"/>
        <v>1.0267871588046318</v>
      </c>
      <c r="I6" s="9">
        <f t="shared" si="3"/>
        <v>1.0702217986484144</v>
      </c>
      <c r="J6" s="9">
        <f t="shared" si="3"/>
        <v>1.013188720173536</v>
      </c>
      <c r="K6" s="9">
        <f t="shared" si="3"/>
        <v>1.0416446091406388</v>
      </c>
      <c r="L6" s="9">
        <f t="shared" si="3"/>
        <v>1.0091895482728077</v>
      </c>
      <c r="M6" s="9">
        <f t="shared" si="3"/>
        <v>1.215069211648537</v>
      </c>
      <c r="N6" s="9">
        <f t="shared" si="3"/>
        <v>1.1078207553323332</v>
      </c>
      <c r="O6" s="9">
        <f t="shared" si="3"/>
        <v>1.0510749846732765</v>
      </c>
      <c r="P6" s="103">
        <f t="shared" si="3"/>
        <v>1.047863500387783</v>
      </c>
      <c r="Q6" s="103">
        <f t="shared" si="3"/>
        <v>1.047863500387783</v>
      </c>
      <c r="R6" s="38"/>
      <c r="S6" s="104">
        <f>S4/S5</f>
        <v>1.544106169972031</v>
      </c>
      <c r="T6" s="104">
        <f>T4/T5</f>
        <v>1.0720274125731069</v>
      </c>
      <c r="U6" s="104">
        <f>U4/U5</f>
        <v>1.0146998479326077</v>
      </c>
      <c r="W6" t="s">
        <v>5</v>
      </c>
      <c r="Z6" s="58"/>
    </row>
    <row r="7" spans="1:26" s="31" customFormat="1" ht="15" customHeight="1" thickTop="1">
      <c r="A7" s="170" t="s">
        <v>31</v>
      </c>
      <c r="B7" s="171"/>
      <c r="C7" s="171"/>
      <c r="D7" s="21">
        <f aca="true" t="shared" si="4" ref="D7:N8">D16+D25</f>
        <v>35377</v>
      </c>
      <c r="E7" s="21">
        <f t="shared" si="4"/>
        <v>36837</v>
      </c>
      <c r="F7" s="21">
        <f t="shared" si="4"/>
        <v>40388</v>
      </c>
      <c r="G7" s="21">
        <f t="shared" si="4"/>
        <v>40257</v>
      </c>
      <c r="H7" s="21">
        <f t="shared" si="4"/>
        <v>37758</v>
      </c>
      <c r="I7" s="21">
        <f t="shared" si="4"/>
        <v>42165</v>
      </c>
      <c r="J7" s="21">
        <f t="shared" si="4"/>
        <v>39275</v>
      </c>
      <c r="K7" s="21">
        <f t="shared" si="4"/>
        <v>39962</v>
      </c>
      <c r="L7" s="21">
        <f t="shared" si="4"/>
        <v>38895</v>
      </c>
      <c r="M7" s="21">
        <f t="shared" si="4"/>
        <v>45191</v>
      </c>
      <c r="N7" s="21">
        <f t="shared" si="4"/>
        <v>44751</v>
      </c>
      <c r="O7" s="21">
        <f>O16+O25</f>
        <v>42594</v>
      </c>
      <c r="P7" s="89">
        <f>P10+P13</f>
        <v>483450</v>
      </c>
      <c r="Q7" s="89">
        <f>Q10+Q13</f>
        <v>483450</v>
      </c>
      <c r="S7" s="39">
        <f>S10+S13</f>
        <v>350914</v>
      </c>
      <c r="T7" s="105">
        <f>T16+T25</f>
        <v>250668</v>
      </c>
      <c r="U7" s="105">
        <f>U16+U25</f>
        <v>72214</v>
      </c>
      <c r="Z7" s="62" t="e">
        <f>Z10+Z13</f>
        <v>#REF!</v>
      </c>
    </row>
    <row r="8" spans="1:26" ht="15" customHeight="1">
      <c r="A8" s="170"/>
      <c r="B8" s="171"/>
      <c r="C8" s="171"/>
      <c r="D8" s="70">
        <f aca="true" t="shared" si="5" ref="D8:O8">D17+D26</f>
        <v>34956</v>
      </c>
      <c r="E8" s="98">
        <f t="shared" si="5"/>
        <v>34928</v>
      </c>
      <c r="F8" s="71">
        <f t="shared" si="5"/>
        <v>39996</v>
      </c>
      <c r="G8" s="70">
        <f t="shared" si="5"/>
        <v>38498</v>
      </c>
      <c r="H8" s="99">
        <f t="shared" si="4"/>
        <v>35102</v>
      </c>
      <c r="I8" s="98">
        <f t="shared" si="5"/>
        <v>39383</v>
      </c>
      <c r="J8" s="99">
        <f t="shared" si="5"/>
        <v>38713</v>
      </c>
      <c r="K8" s="98">
        <f t="shared" si="5"/>
        <v>38530</v>
      </c>
      <c r="L8" s="99">
        <f t="shared" si="5"/>
        <v>38372</v>
      </c>
      <c r="M8" s="98">
        <f t="shared" si="5"/>
        <v>36576</v>
      </c>
      <c r="N8" s="72">
        <f t="shared" si="5"/>
        <v>38221</v>
      </c>
      <c r="O8" s="100">
        <f t="shared" si="5"/>
        <v>39490</v>
      </c>
      <c r="P8" s="101">
        <f>P11+P14</f>
        <v>452765</v>
      </c>
      <c r="Q8" s="101">
        <f>Q11+Q14</f>
        <v>452765</v>
      </c>
      <c r="S8" s="91">
        <f>S11+S14</f>
        <v>222863</v>
      </c>
      <c r="T8" s="102">
        <f>T17+T26</f>
        <v>229902</v>
      </c>
      <c r="U8" s="102">
        <f>U17+U26</f>
        <v>69884</v>
      </c>
      <c r="Z8" s="55" t="e">
        <f>Z11+Z14</f>
        <v>#REF!</v>
      </c>
    </row>
    <row r="9" spans="1:26" ht="15" customHeight="1">
      <c r="A9" s="170"/>
      <c r="B9" s="171"/>
      <c r="C9" s="171"/>
      <c r="D9" s="8">
        <f aca="true" t="shared" si="6" ref="D9:Q9">D7/D8</f>
        <v>1.0120437120952055</v>
      </c>
      <c r="E9" s="8">
        <f t="shared" si="6"/>
        <v>1.0546552908841045</v>
      </c>
      <c r="F9" s="8">
        <f t="shared" si="6"/>
        <v>1.00980098009801</v>
      </c>
      <c r="G9" s="8">
        <f t="shared" si="6"/>
        <v>1.0456906852304015</v>
      </c>
      <c r="H9" s="8">
        <f t="shared" si="6"/>
        <v>1.0756652042618655</v>
      </c>
      <c r="I9" s="8">
        <f t="shared" si="6"/>
        <v>1.0706396160780032</v>
      </c>
      <c r="J9" s="8">
        <f t="shared" si="6"/>
        <v>1.0145170872833416</v>
      </c>
      <c r="K9" s="8">
        <f t="shared" si="6"/>
        <v>1.0371658447962626</v>
      </c>
      <c r="L9" s="8">
        <f t="shared" si="6"/>
        <v>1.0136297300114667</v>
      </c>
      <c r="M9" s="8">
        <f t="shared" si="6"/>
        <v>1.2355369641294838</v>
      </c>
      <c r="N9" s="8">
        <f t="shared" si="6"/>
        <v>1.1708484864341593</v>
      </c>
      <c r="O9" s="8">
        <f t="shared" si="6"/>
        <v>1.0786021777665231</v>
      </c>
      <c r="P9" s="106">
        <f t="shared" si="6"/>
        <v>1.0677724647444038</v>
      </c>
      <c r="Q9" s="106">
        <f t="shared" si="6"/>
        <v>1.0677724647444038</v>
      </c>
      <c r="S9" s="107">
        <f>S7/S8</f>
        <v>1.5745727195631396</v>
      </c>
      <c r="T9" s="107">
        <f>T7/T8</f>
        <v>1.09032544301485</v>
      </c>
      <c r="U9" s="107">
        <f>U7/U8</f>
        <v>1.0333409650277603</v>
      </c>
      <c r="Z9" s="59"/>
    </row>
    <row r="10" spans="1:26" s="31" customFormat="1" ht="15" customHeight="1">
      <c r="A10" s="214"/>
      <c r="B10" s="179" t="s">
        <v>36</v>
      </c>
      <c r="C10" s="181"/>
      <c r="D10" s="20">
        <f aca="true" t="shared" si="7" ref="D10:Q11">D19+D28</f>
        <v>31375</v>
      </c>
      <c r="E10" s="20">
        <f t="shared" si="7"/>
        <v>32171</v>
      </c>
      <c r="F10" s="20">
        <f t="shared" si="7"/>
        <v>36679</v>
      </c>
      <c r="G10" s="20">
        <f t="shared" si="7"/>
        <v>36354</v>
      </c>
      <c r="H10" s="20">
        <f t="shared" si="7"/>
        <v>32864</v>
      </c>
      <c r="I10" s="20">
        <f t="shared" si="7"/>
        <v>37409</v>
      </c>
      <c r="J10" s="20">
        <f t="shared" si="7"/>
        <v>34842</v>
      </c>
      <c r="K10" s="20">
        <f t="shared" si="7"/>
        <v>33837</v>
      </c>
      <c r="L10" s="20">
        <f t="shared" si="7"/>
        <v>33500</v>
      </c>
      <c r="M10" s="20">
        <f t="shared" si="7"/>
        <v>38921</v>
      </c>
      <c r="N10" s="20">
        <f t="shared" si="7"/>
        <v>37323</v>
      </c>
      <c r="O10" s="20">
        <f t="shared" si="7"/>
        <v>37053</v>
      </c>
      <c r="P10" s="85">
        <f t="shared" si="7"/>
        <v>422328</v>
      </c>
      <c r="Q10" s="85">
        <f t="shared" si="7"/>
        <v>422328</v>
      </c>
      <c r="S10" s="86">
        <f aca="true" t="shared" si="8" ref="S10:U11">S19+S28</f>
        <v>309031</v>
      </c>
      <c r="T10" s="97">
        <f t="shared" si="8"/>
        <v>215476</v>
      </c>
      <c r="U10" s="97">
        <f t="shared" si="8"/>
        <v>63546</v>
      </c>
      <c r="Z10" s="61" t="e">
        <f>Z19+Z28</f>
        <v>#REF!</v>
      </c>
    </row>
    <row r="11" spans="1:26" ht="15" customHeight="1">
      <c r="A11" s="214"/>
      <c r="B11" s="168"/>
      <c r="C11" s="182"/>
      <c r="D11" s="70">
        <f aca="true" t="shared" si="9" ref="D11:Q11">D20+D29</f>
        <v>30157</v>
      </c>
      <c r="E11" s="98">
        <f t="shared" si="9"/>
        <v>29763</v>
      </c>
      <c r="F11" s="71">
        <f t="shared" si="9"/>
        <v>35345</v>
      </c>
      <c r="G11" s="70">
        <f t="shared" si="9"/>
        <v>33699</v>
      </c>
      <c r="H11" s="99">
        <f t="shared" si="7"/>
        <v>30681</v>
      </c>
      <c r="I11" s="98">
        <f t="shared" si="9"/>
        <v>33314</v>
      </c>
      <c r="J11" s="99">
        <f t="shared" si="9"/>
        <v>33937</v>
      </c>
      <c r="K11" s="98">
        <f t="shared" si="9"/>
        <v>34495</v>
      </c>
      <c r="L11" s="99">
        <f t="shared" si="9"/>
        <v>33013</v>
      </c>
      <c r="M11" s="98">
        <f t="shared" si="9"/>
        <v>33275</v>
      </c>
      <c r="N11" s="72">
        <f t="shared" si="9"/>
        <v>34591</v>
      </c>
      <c r="O11" s="100">
        <f t="shared" si="9"/>
        <v>35357</v>
      </c>
      <c r="P11" s="101">
        <f t="shared" si="9"/>
        <v>397627</v>
      </c>
      <c r="Q11" s="101">
        <f t="shared" si="9"/>
        <v>397627</v>
      </c>
      <c r="S11" s="91">
        <f t="shared" si="8"/>
        <v>192959</v>
      </c>
      <c r="T11" s="102">
        <f t="shared" si="8"/>
        <v>204668</v>
      </c>
      <c r="U11" s="102">
        <f t="shared" si="8"/>
        <v>59920</v>
      </c>
      <c r="Z11" s="55" t="e">
        <f>Z20+Z29</f>
        <v>#REF!</v>
      </c>
    </row>
    <row r="12" spans="1:26" ht="15" customHeight="1">
      <c r="A12" s="214"/>
      <c r="B12" s="180"/>
      <c r="C12" s="183"/>
      <c r="D12" s="5">
        <f aca="true" t="shared" si="10" ref="D12:Q12">D10/D11</f>
        <v>1.0403886328215672</v>
      </c>
      <c r="E12" s="5">
        <f t="shared" si="10"/>
        <v>1.080905822665726</v>
      </c>
      <c r="F12" s="5">
        <f t="shared" si="10"/>
        <v>1.0377422549158297</v>
      </c>
      <c r="G12" s="5">
        <f t="shared" si="10"/>
        <v>1.0787857206445295</v>
      </c>
      <c r="H12" s="5">
        <f t="shared" si="10"/>
        <v>1.071151527003683</v>
      </c>
      <c r="I12" s="5">
        <f t="shared" si="10"/>
        <v>1.1229212943507234</v>
      </c>
      <c r="J12" s="5">
        <f t="shared" si="10"/>
        <v>1.026667059551522</v>
      </c>
      <c r="K12" s="5">
        <f t="shared" si="10"/>
        <v>0.9809247717060443</v>
      </c>
      <c r="L12" s="5">
        <f t="shared" si="10"/>
        <v>1.0147517644564263</v>
      </c>
      <c r="M12" s="5">
        <f t="shared" si="10"/>
        <v>1.1696769346356124</v>
      </c>
      <c r="N12" s="5">
        <f t="shared" si="10"/>
        <v>1.078980081524096</v>
      </c>
      <c r="O12" s="5">
        <f t="shared" si="10"/>
        <v>1.0479678705772548</v>
      </c>
      <c r="P12" s="108">
        <f t="shared" si="10"/>
        <v>1.0621210330284412</v>
      </c>
      <c r="Q12" s="108">
        <f t="shared" si="10"/>
        <v>1.0621210330284412</v>
      </c>
      <c r="S12" s="109">
        <f>S10/S11</f>
        <v>1.6015371141019594</v>
      </c>
      <c r="T12" s="109">
        <f>T10/T11</f>
        <v>1.0528074735669475</v>
      </c>
      <c r="U12" s="109">
        <f>U10/U11</f>
        <v>1.0605140186915887</v>
      </c>
      <c r="Z12" s="60"/>
    </row>
    <row r="13" spans="1:26" s="31" customFormat="1" ht="15" customHeight="1">
      <c r="A13" s="214"/>
      <c r="B13" s="168" t="s">
        <v>37</v>
      </c>
      <c r="C13" s="182"/>
      <c r="D13" s="21">
        <f aca="true" t="shared" si="11" ref="D13:Q14">D22+D31</f>
        <v>4002</v>
      </c>
      <c r="E13" s="21">
        <f t="shared" si="11"/>
        <v>4666</v>
      </c>
      <c r="F13" s="21">
        <f t="shared" si="11"/>
        <v>3709</v>
      </c>
      <c r="G13" s="21">
        <f t="shared" si="11"/>
        <v>3903</v>
      </c>
      <c r="H13" s="21">
        <f t="shared" si="11"/>
        <v>4894</v>
      </c>
      <c r="I13" s="21">
        <f t="shared" si="11"/>
        <v>4756</v>
      </c>
      <c r="J13" s="21">
        <f t="shared" si="11"/>
        <v>4433</v>
      </c>
      <c r="K13" s="21">
        <f t="shared" si="11"/>
        <v>6125</v>
      </c>
      <c r="L13" s="21">
        <f t="shared" si="11"/>
        <v>5395</v>
      </c>
      <c r="M13" s="21">
        <f t="shared" si="11"/>
        <v>6270</v>
      </c>
      <c r="N13" s="21">
        <f t="shared" si="11"/>
        <v>7428</v>
      </c>
      <c r="O13" s="21">
        <f t="shared" si="11"/>
        <v>5541</v>
      </c>
      <c r="P13" s="89">
        <f t="shared" si="11"/>
        <v>61122</v>
      </c>
      <c r="Q13" s="89">
        <f t="shared" si="11"/>
        <v>61122</v>
      </c>
      <c r="S13" s="39">
        <f aca="true" t="shared" si="12" ref="S13:U14">S22+S31</f>
        <v>41883</v>
      </c>
      <c r="T13" s="105">
        <f t="shared" si="12"/>
        <v>35192</v>
      </c>
      <c r="U13" s="105">
        <f t="shared" si="12"/>
        <v>8668</v>
      </c>
      <c r="Z13" s="62" t="e">
        <f>Z22+Z31</f>
        <v>#REF!</v>
      </c>
    </row>
    <row r="14" spans="1:26" ht="15" customHeight="1">
      <c r="A14" s="214"/>
      <c r="B14" s="168"/>
      <c r="C14" s="182"/>
      <c r="D14" s="70">
        <f aca="true" t="shared" si="13" ref="D14:Q14">D23+D32</f>
        <v>4799</v>
      </c>
      <c r="E14" s="98">
        <f t="shared" si="13"/>
        <v>5165</v>
      </c>
      <c r="F14" s="71">
        <f t="shared" si="13"/>
        <v>4651</v>
      </c>
      <c r="G14" s="70">
        <f t="shared" si="13"/>
        <v>4799</v>
      </c>
      <c r="H14" s="99">
        <f t="shared" si="11"/>
        <v>4421</v>
      </c>
      <c r="I14" s="98">
        <f t="shared" si="13"/>
        <v>6069</v>
      </c>
      <c r="J14" s="99">
        <f t="shared" si="13"/>
        <v>4776</v>
      </c>
      <c r="K14" s="98">
        <f t="shared" si="13"/>
        <v>4035</v>
      </c>
      <c r="L14" s="99">
        <f t="shared" si="13"/>
        <v>5359</v>
      </c>
      <c r="M14" s="98">
        <f t="shared" si="13"/>
        <v>3301</v>
      </c>
      <c r="N14" s="72">
        <f t="shared" si="13"/>
        <v>3630</v>
      </c>
      <c r="O14" s="100">
        <f t="shared" si="13"/>
        <v>4133</v>
      </c>
      <c r="P14" s="101">
        <f t="shared" si="13"/>
        <v>55138</v>
      </c>
      <c r="Q14" s="101">
        <f t="shared" si="13"/>
        <v>55138</v>
      </c>
      <c r="S14" s="91">
        <f t="shared" si="12"/>
        <v>29904</v>
      </c>
      <c r="T14" s="102">
        <f t="shared" si="12"/>
        <v>25234</v>
      </c>
      <c r="U14" s="102">
        <f t="shared" si="12"/>
        <v>9964</v>
      </c>
      <c r="Z14" s="55" t="e">
        <f>Z23+Z32</f>
        <v>#REF!</v>
      </c>
    </row>
    <row r="15" spans="1:26" ht="15" customHeight="1" thickBot="1">
      <c r="A15" s="214"/>
      <c r="B15" s="169"/>
      <c r="C15" s="213"/>
      <c r="D15" s="10">
        <f aca="true" t="shared" si="14" ref="D15:Q15">D13/D14</f>
        <v>0.8339237341112732</v>
      </c>
      <c r="E15" s="10">
        <f t="shared" si="14"/>
        <v>0.9033881897386253</v>
      </c>
      <c r="F15" s="10">
        <f t="shared" si="14"/>
        <v>0.797462911201892</v>
      </c>
      <c r="G15" s="10">
        <f t="shared" si="14"/>
        <v>0.8132944363409044</v>
      </c>
      <c r="H15" s="10">
        <f t="shared" si="14"/>
        <v>1.1069893689210586</v>
      </c>
      <c r="I15" s="10">
        <f t="shared" si="14"/>
        <v>0.7836546383259186</v>
      </c>
      <c r="J15" s="10">
        <f t="shared" si="14"/>
        <v>0.9281825795644891</v>
      </c>
      <c r="K15" s="10">
        <f t="shared" si="14"/>
        <v>1.5179677819083024</v>
      </c>
      <c r="L15" s="10">
        <f t="shared" si="14"/>
        <v>1.0067176712073147</v>
      </c>
      <c r="M15" s="10">
        <f t="shared" si="14"/>
        <v>1.8994244168433807</v>
      </c>
      <c r="N15" s="10">
        <f t="shared" si="14"/>
        <v>2.046280991735537</v>
      </c>
      <c r="O15" s="10">
        <f t="shared" si="14"/>
        <v>1.3406726348899105</v>
      </c>
      <c r="P15" s="110">
        <f t="shared" si="14"/>
        <v>1.1085276941492255</v>
      </c>
      <c r="Q15" s="110">
        <f t="shared" si="14"/>
        <v>1.1085276941492255</v>
      </c>
      <c r="S15" s="111">
        <f>S13/S14</f>
        <v>1.4005818619582664</v>
      </c>
      <c r="T15" s="111">
        <f>T13/T14</f>
        <v>1.3946262978521042</v>
      </c>
      <c r="U15" s="111">
        <f>U13/U14</f>
        <v>0.8699317543155359</v>
      </c>
      <c r="Z15" s="58"/>
    </row>
    <row r="16" spans="1:26" s="31" customFormat="1" ht="14.25" customHeight="1" thickTop="1">
      <c r="A16" s="214"/>
      <c r="B16" s="216" t="s">
        <v>32</v>
      </c>
      <c r="C16" s="217"/>
      <c r="D16" s="33">
        <f aca="true" t="shared" si="15" ref="D16:Q17">D19+D22</f>
        <v>17238</v>
      </c>
      <c r="E16" s="33">
        <f t="shared" si="15"/>
        <v>19345</v>
      </c>
      <c r="F16" s="33">
        <f t="shared" si="15"/>
        <v>21306</v>
      </c>
      <c r="G16" s="167">
        <f t="shared" si="15"/>
        <v>20594</v>
      </c>
      <c r="H16" s="33">
        <f t="shared" si="15"/>
        <v>18568</v>
      </c>
      <c r="I16" s="33">
        <f t="shared" si="15"/>
        <v>22158</v>
      </c>
      <c r="J16" s="33">
        <f t="shared" si="15"/>
        <v>19970</v>
      </c>
      <c r="K16" s="33">
        <f t="shared" si="15"/>
        <v>20175</v>
      </c>
      <c r="L16" s="33">
        <f t="shared" si="15"/>
        <v>20563</v>
      </c>
      <c r="M16" s="33">
        <f t="shared" si="15"/>
        <v>22465</v>
      </c>
      <c r="N16" s="33">
        <f t="shared" si="15"/>
        <v>22679</v>
      </c>
      <c r="O16" s="33">
        <f>O19+O22</f>
        <v>23521</v>
      </c>
      <c r="P16" s="112">
        <f t="shared" si="15"/>
        <v>248582</v>
      </c>
      <c r="Q16" s="112">
        <f t="shared" si="15"/>
        <v>248582</v>
      </c>
      <c r="S16" s="113">
        <f aca="true" t="shared" si="16" ref="S16:U17">S19+S22</f>
        <v>179917</v>
      </c>
      <c r="T16" s="114">
        <f t="shared" si="16"/>
        <v>129373</v>
      </c>
      <c r="U16" s="114">
        <f t="shared" si="16"/>
        <v>36583</v>
      </c>
      <c r="Z16" s="62" t="e">
        <f>Z19+Z22</f>
        <v>#REF!</v>
      </c>
    </row>
    <row r="17" spans="1:26" ht="13.5">
      <c r="A17" s="214"/>
      <c r="B17" s="216"/>
      <c r="C17" s="217"/>
      <c r="D17" s="73">
        <f aca="true" t="shared" si="17" ref="D17:Q17">D20+D23</f>
        <v>17100</v>
      </c>
      <c r="E17" s="115">
        <f t="shared" si="17"/>
        <v>20200</v>
      </c>
      <c r="F17" s="74">
        <f t="shared" si="17"/>
        <v>19368</v>
      </c>
      <c r="G17" s="115">
        <f t="shared" si="17"/>
        <v>21574</v>
      </c>
      <c r="H17" s="116">
        <f t="shared" si="15"/>
        <v>17520</v>
      </c>
      <c r="I17" s="115">
        <f t="shared" si="17"/>
        <v>20991</v>
      </c>
      <c r="J17" s="116">
        <f t="shared" si="17"/>
        <v>19149</v>
      </c>
      <c r="K17" s="115">
        <f t="shared" si="17"/>
        <v>18981</v>
      </c>
      <c r="L17" s="116">
        <f t="shared" si="17"/>
        <v>19707</v>
      </c>
      <c r="M17" s="115">
        <f t="shared" si="17"/>
        <v>19122</v>
      </c>
      <c r="N17" s="75">
        <f t="shared" si="17"/>
        <v>18629</v>
      </c>
      <c r="O17" s="117">
        <f t="shared" si="17"/>
        <v>20585</v>
      </c>
      <c r="P17" s="118">
        <f t="shared" si="17"/>
        <v>232926</v>
      </c>
      <c r="Q17" s="118">
        <f t="shared" si="17"/>
        <v>232926</v>
      </c>
      <c r="S17" s="119">
        <f t="shared" si="16"/>
        <v>116753</v>
      </c>
      <c r="T17" s="120">
        <f t="shared" si="16"/>
        <v>116173</v>
      </c>
      <c r="U17" s="120">
        <f t="shared" si="16"/>
        <v>37300</v>
      </c>
      <c r="Z17" s="55" t="e">
        <f>Z20+Z23</f>
        <v>#REF!</v>
      </c>
    </row>
    <row r="18" spans="1:26" ht="13.5">
      <c r="A18" s="214"/>
      <c r="B18" s="216"/>
      <c r="C18" s="217"/>
      <c r="D18" s="28">
        <f aca="true" t="shared" si="18" ref="D18:Q18">D16/D17</f>
        <v>1.0080701754385966</v>
      </c>
      <c r="E18" s="28">
        <f t="shared" si="18"/>
        <v>0.9576732673267326</v>
      </c>
      <c r="F18" s="28">
        <f t="shared" si="18"/>
        <v>1.1000619578686492</v>
      </c>
      <c r="G18" s="122">
        <f t="shared" si="18"/>
        <v>0.954574951330305</v>
      </c>
      <c r="H18" s="28">
        <f t="shared" si="18"/>
        <v>1.0598173515981735</v>
      </c>
      <c r="I18" s="28">
        <f t="shared" si="18"/>
        <v>1.0555952551093326</v>
      </c>
      <c r="J18" s="28">
        <f t="shared" si="18"/>
        <v>1.042874301530106</v>
      </c>
      <c r="K18" s="28">
        <f t="shared" si="18"/>
        <v>1.0629050102734314</v>
      </c>
      <c r="L18" s="28">
        <f t="shared" si="18"/>
        <v>1.0434363424164002</v>
      </c>
      <c r="M18" s="28">
        <f t="shared" si="18"/>
        <v>1.174824809120385</v>
      </c>
      <c r="N18" s="28">
        <f t="shared" si="18"/>
        <v>1.2174029738579635</v>
      </c>
      <c r="O18" s="28">
        <f t="shared" si="18"/>
        <v>1.1426281272771435</v>
      </c>
      <c r="P18" s="121">
        <f t="shared" si="18"/>
        <v>1.067214480135322</v>
      </c>
      <c r="Q18" s="121">
        <f t="shared" si="18"/>
        <v>1.067214480135322</v>
      </c>
      <c r="S18" s="122">
        <f>S16/S17</f>
        <v>1.5410053703116837</v>
      </c>
      <c r="T18" s="122">
        <f>T16/T17</f>
        <v>1.1136236474912415</v>
      </c>
      <c r="U18" s="122">
        <f>U16/U17</f>
        <v>0.9807774798927614</v>
      </c>
      <c r="Z18" s="51"/>
    </row>
    <row r="19" spans="1:26" s="31" customFormat="1" ht="13.5">
      <c r="A19" s="214"/>
      <c r="B19" s="34"/>
      <c r="C19" s="208" t="s">
        <v>33</v>
      </c>
      <c r="D19" s="22">
        <v>13970</v>
      </c>
      <c r="E19" s="22">
        <v>15726</v>
      </c>
      <c r="F19" s="22">
        <v>19048</v>
      </c>
      <c r="G19" s="22">
        <v>18201</v>
      </c>
      <c r="H19" s="22">
        <f>2475+12556</f>
        <v>15031</v>
      </c>
      <c r="I19" s="22">
        <f>3105+15522</f>
        <v>18627</v>
      </c>
      <c r="J19" s="22">
        <f>2789+13928</f>
        <v>16717</v>
      </c>
      <c r="K19" s="22">
        <v>15648</v>
      </c>
      <c r="L19" s="22">
        <v>16937</v>
      </c>
      <c r="M19" s="22">
        <v>18828</v>
      </c>
      <c r="N19" s="22">
        <f>2771+14386</f>
        <v>17157</v>
      </c>
      <c r="O19" s="45">
        <v>18848</v>
      </c>
      <c r="P19" s="85">
        <f>SUM(D19:O19)</f>
        <v>204738</v>
      </c>
      <c r="Q19" s="85">
        <f>SUM(D19:O19)</f>
        <v>204738</v>
      </c>
      <c r="S19" s="86">
        <f>SUM(D19:L19)</f>
        <v>149905</v>
      </c>
      <c r="T19" s="97">
        <f>SUM(J19:O19)</f>
        <v>104135</v>
      </c>
      <c r="U19" s="97">
        <f>SUM(D19:E19)</f>
        <v>29696</v>
      </c>
      <c r="Z19" s="61" t="e">
        <f>#REF!+T19</f>
        <v>#REF!</v>
      </c>
    </row>
    <row r="20" spans="1:26" ht="13.5">
      <c r="A20" s="214"/>
      <c r="B20" s="13"/>
      <c r="C20" s="172"/>
      <c r="D20" s="98">
        <v>12982</v>
      </c>
      <c r="E20" s="98">
        <v>16460</v>
      </c>
      <c r="F20" s="98">
        <v>16310</v>
      </c>
      <c r="G20" s="98">
        <v>17562</v>
      </c>
      <c r="H20" s="98">
        <v>14259</v>
      </c>
      <c r="I20" s="98">
        <v>16481</v>
      </c>
      <c r="J20" s="98">
        <v>15565</v>
      </c>
      <c r="K20" s="98">
        <v>15619</v>
      </c>
      <c r="L20" s="98">
        <v>15471</v>
      </c>
      <c r="M20" s="98">
        <v>16512</v>
      </c>
      <c r="N20" s="98">
        <v>16124</v>
      </c>
      <c r="O20" s="98">
        <v>17521</v>
      </c>
      <c r="P20" s="101">
        <f>SUMPRODUCT(D20:O20,((D19:O19)&lt;&gt;"")*1)</f>
        <v>190866</v>
      </c>
      <c r="Q20" s="101">
        <f>SUM(D20:O20)</f>
        <v>190866</v>
      </c>
      <c r="S20" s="91">
        <f>SUM(D20:I20)</f>
        <v>94054</v>
      </c>
      <c r="T20" s="91">
        <f>SUM(J20:O20)</f>
        <v>96812</v>
      </c>
      <c r="U20" s="91">
        <f>SUM(D20:E20)</f>
        <v>29442</v>
      </c>
      <c r="Z20" s="55" t="e">
        <f>#REF!+T20</f>
        <v>#REF!</v>
      </c>
    </row>
    <row r="21" spans="1:26" ht="13.5">
      <c r="A21" s="214"/>
      <c r="B21" s="13"/>
      <c r="C21" s="173"/>
      <c r="D21" s="23">
        <f aca="true" t="shared" si="19" ref="D21:Q21">D19/D20</f>
        <v>1.0761053766753967</v>
      </c>
      <c r="E21" s="23">
        <f t="shared" si="19"/>
        <v>0.9554070473876063</v>
      </c>
      <c r="F21" s="23">
        <f t="shared" si="19"/>
        <v>1.1678724708767627</v>
      </c>
      <c r="G21" s="23">
        <f t="shared" si="19"/>
        <v>1.0363853775196448</v>
      </c>
      <c r="H21" s="23">
        <f t="shared" si="19"/>
        <v>1.0541412441265166</v>
      </c>
      <c r="I21" s="23">
        <f t="shared" si="19"/>
        <v>1.1302105454766094</v>
      </c>
      <c r="J21" s="23">
        <f t="shared" si="19"/>
        <v>1.0740122068743976</v>
      </c>
      <c r="K21" s="23">
        <f t="shared" si="19"/>
        <v>1.0018567129777836</v>
      </c>
      <c r="L21" s="23">
        <f t="shared" si="19"/>
        <v>1.09475793419947</v>
      </c>
      <c r="M21" s="23">
        <f t="shared" si="19"/>
        <v>1.1402616279069768</v>
      </c>
      <c r="N21" s="23">
        <f t="shared" si="19"/>
        <v>1.0640659885884396</v>
      </c>
      <c r="O21" s="23">
        <f t="shared" si="19"/>
        <v>1.0757376862051253</v>
      </c>
      <c r="P21" s="88">
        <f t="shared" si="19"/>
        <v>1.072679261890541</v>
      </c>
      <c r="Q21" s="88">
        <f t="shared" si="19"/>
        <v>1.072679261890541</v>
      </c>
      <c r="S21" s="23">
        <f>S19/S20</f>
        <v>1.5938184447232442</v>
      </c>
      <c r="T21" s="23">
        <f>T19/T20</f>
        <v>1.0756414494070983</v>
      </c>
      <c r="U21" s="23">
        <f>U19/U20</f>
        <v>1.0086271313090143</v>
      </c>
      <c r="V21" s="1"/>
      <c r="Z21" s="53"/>
    </row>
    <row r="22" spans="1:26" s="31" customFormat="1" ht="13.5">
      <c r="A22" s="214"/>
      <c r="B22" s="34"/>
      <c r="C22" s="172" t="s">
        <v>2</v>
      </c>
      <c r="D22" s="37">
        <v>3268</v>
      </c>
      <c r="E22" s="37">
        <v>3619</v>
      </c>
      <c r="F22" s="37">
        <v>2258</v>
      </c>
      <c r="G22" s="39">
        <v>2393</v>
      </c>
      <c r="H22" s="39">
        <f>1473+2064</f>
        <v>3537</v>
      </c>
      <c r="I22" s="39">
        <f>1551+1980</f>
        <v>3531</v>
      </c>
      <c r="J22" s="39">
        <f>1583+1670</f>
        <v>3253</v>
      </c>
      <c r="K22" s="39">
        <v>4527</v>
      </c>
      <c r="L22" s="39">
        <v>3626</v>
      </c>
      <c r="M22" s="39">
        <v>3637</v>
      </c>
      <c r="N22" s="39">
        <f>2646+2876</f>
        <v>5522</v>
      </c>
      <c r="O22" s="47">
        <v>4673</v>
      </c>
      <c r="P22" s="89">
        <f>SUM(D22:O22)</f>
        <v>43844</v>
      </c>
      <c r="Q22" s="89">
        <f>SUM(D22:O22)</f>
        <v>43844</v>
      </c>
      <c r="S22" s="39">
        <f>SUM(D22:L22)</f>
        <v>30012</v>
      </c>
      <c r="T22" s="105">
        <f>SUM(J22:O22)</f>
        <v>25238</v>
      </c>
      <c r="U22" s="105">
        <f>SUM(D22:E22)</f>
        <v>6887</v>
      </c>
      <c r="Z22" s="62" t="e">
        <f>#REF!+T22</f>
        <v>#REF!</v>
      </c>
    </row>
    <row r="23" spans="1:26" ht="13.5">
      <c r="A23" s="214"/>
      <c r="B23" s="13"/>
      <c r="C23" s="172"/>
      <c r="D23" s="98">
        <v>4118</v>
      </c>
      <c r="E23" s="98">
        <v>3740</v>
      </c>
      <c r="F23" s="98">
        <v>3058</v>
      </c>
      <c r="G23" s="98">
        <v>4012</v>
      </c>
      <c r="H23" s="98">
        <v>3261</v>
      </c>
      <c r="I23" s="98">
        <v>4510</v>
      </c>
      <c r="J23" s="98">
        <v>3584</v>
      </c>
      <c r="K23" s="98">
        <v>3362</v>
      </c>
      <c r="L23" s="98">
        <v>4236</v>
      </c>
      <c r="M23" s="98">
        <v>2610</v>
      </c>
      <c r="N23" s="98">
        <v>2505</v>
      </c>
      <c r="O23" s="98">
        <v>3064</v>
      </c>
      <c r="P23" s="101">
        <f>SUMPRODUCT(D23:O23,((D22:O22)&lt;&gt;"")*1)</f>
        <v>42060</v>
      </c>
      <c r="Q23" s="101">
        <f>SUM(D23:O23)</f>
        <v>42060</v>
      </c>
      <c r="S23" s="91">
        <f>SUM(D23:I23)</f>
        <v>22699</v>
      </c>
      <c r="T23" s="102">
        <f>SUM(J23:O23)</f>
        <v>19361</v>
      </c>
      <c r="U23" s="102">
        <f>SUM(D23:E23)</f>
        <v>7858</v>
      </c>
      <c r="Z23" s="55" t="e">
        <f>#REF!+T23</f>
        <v>#REF!</v>
      </c>
    </row>
    <row r="24" spans="1:26" ht="13.5">
      <c r="A24" s="214"/>
      <c r="B24" s="14"/>
      <c r="C24" s="174"/>
      <c r="D24" s="17">
        <f aca="true" t="shared" si="20" ref="D24:Q24">D22/D23</f>
        <v>0.7935891209324915</v>
      </c>
      <c r="E24" s="17">
        <f t="shared" si="20"/>
        <v>0.9676470588235294</v>
      </c>
      <c r="F24" s="17">
        <f t="shared" si="20"/>
        <v>0.7383911052975801</v>
      </c>
      <c r="G24" s="17">
        <f t="shared" si="20"/>
        <v>0.5964606181455633</v>
      </c>
      <c r="H24" s="17">
        <f t="shared" si="20"/>
        <v>1.0846366145354185</v>
      </c>
      <c r="I24" s="17">
        <f t="shared" si="20"/>
        <v>0.7829268292682927</v>
      </c>
      <c r="J24" s="17">
        <f t="shared" si="20"/>
        <v>0.9076450892857143</v>
      </c>
      <c r="K24" s="17">
        <f t="shared" si="20"/>
        <v>1.3465199286139202</v>
      </c>
      <c r="L24" s="17">
        <f t="shared" si="20"/>
        <v>0.8559962228517469</v>
      </c>
      <c r="M24" s="17">
        <f t="shared" si="20"/>
        <v>1.3934865900383142</v>
      </c>
      <c r="N24" s="17">
        <f t="shared" si="20"/>
        <v>2.2043912175648703</v>
      </c>
      <c r="O24" s="17">
        <f t="shared" si="20"/>
        <v>1.525130548302872</v>
      </c>
      <c r="P24" s="90">
        <f t="shared" si="20"/>
        <v>1.042415596766524</v>
      </c>
      <c r="Q24" s="90">
        <f t="shared" si="20"/>
        <v>1.042415596766524</v>
      </c>
      <c r="S24" s="84">
        <f>S22/S23</f>
        <v>1.3221727829419798</v>
      </c>
      <c r="T24" s="17">
        <f>T22/T23</f>
        <v>1.3035483704354114</v>
      </c>
      <c r="U24" s="17">
        <f>U22/U23</f>
        <v>0.876431662000509</v>
      </c>
      <c r="Z24" s="51"/>
    </row>
    <row r="25" spans="1:26" s="31" customFormat="1" ht="13.5">
      <c r="A25" s="214"/>
      <c r="B25" s="218" t="s">
        <v>28</v>
      </c>
      <c r="C25" s="219"/>
      <c r="D25" s="167">
        <f aca="true" t="shared" si="21" ref="D25:Q26">D28+D31</f>
        <v>18139</v>
      </c>
      <c r="E25" s="167">
        <f t="shared" si="21"/>
        <v>17492</v>
      </c>
      <c r="F25" s="167">
        <f t="shared" si="21"/>
        <v>19082</v>
      </c>
      <c r="G25" s="167">
        <f t="shared" si="21"/>
        <v>19663</v>
      </c>
      <c r="H25" s="33">
        <f t="shared" si="21"/>
        <v>19190</v>
      </c>
      <c r="I25" s="33">
        <f t="shared" si="21"/>
        <v>20007</v>
      </c>
      <c r="J25" s="33">
        <f t="shared" si="21"/>
        <v>19305</v>
      </c>
      <c r="K25" s="33">
        <f t="shared" si="21"/>
        <v>19787</v>
      </c>
      <c r="L25" s="33">
        <f t="shared" si="21"/>
        <v>18332</v>
      </c>
      <c r="M25" s="33">
        <f t="shared" si="21"/>
        <v>22726</v>
      </c>
      <c r="N25" s="33">
        <f t="shared" si="21"/>
        <v>22072</v>
      </c>
      <c r="O25" s="33">
        <f t="shared" si="21"/>
        <v>19073</v>
      </c>
      <c r="P25" s="123">
        <f t="shared" si="21"/>
        <v>234868</v>
      </c>
      <c r="Q25" s="123">
        <f t="shared" si="21"/>
        <v>234868</v>
      </c>
      <c r="S25" s="124">
        <f aca="true" t="shared" si="22" ref="S25:U26">S28+S31</f>
        <v>170997</v>
      </c>
      <c r="T25" s="125">
        <f t="shared" si="22"/>
        <v>121295</v>
      </c>
      <c r="U25" s="125">
        <f t="shared" si="22"/>
        <v>35631</v>
      </c>
      <c r="Z25" s="61" t="e">
        <f>Z28+Z31</f>
        <v>#REF!</v>
      </c>
    </row>
    <row r="26" spans="1:26" ht="13.5">
      <c r="A26" s="214"/>
      <c r="B26" s="216"/>
      <c r="C26" s="217"/>
      <c r="D26" s="115">
        <f aca="true" t="shared" si="23" ref="D26:Q26">D29+D32</f>
        <v>17856</v>
      </c>
      <c r="E26" s="115">
        <f t="shared" si="23"/>
        <v>14728</v>
      </c>
      <c r="F26" s="116">
        <f t="shared" si="23"/>
        <v>20628</v>
      </c>
      <c r="G26" s="115">
        <f t="shared" si="23"/>
        <v>16924</v>
      </c>
      <c r="H26" s="116">
        <f t="shared" si="21"/>
        <v>17582</v>
      </c>
      <c r="I26" s="115">
        <f t="shared" si="23"/>
        <v>18392</v>
      </c>
      <c r="J26" s="116">
        <f t="shared" si="23"/>
        <v>19564</v>
      </c>
      <c r="K26" s="115">
        <f t="shared" si="23"/>
        <v>19549</v>
      </c>
      <c r="L26" s="116">
        <f t="shared" si="23"/>
        <v>18665</v>
      </c>
      <c r="M26" s="115">
        <f t="shared" si="23"/>
        <v>17454</v>
      </c>
      <c r="N26" s="75">
        <f t="shared" si="23"/>
        <v>19592</v>
      </c>
      <c r="O26" s="117">
        <f t="shared" si="23"/>
        <v>18905</v>
      </c>
      <c r="P26" s="118">
        <f t="shared" si="23"/>
        <v>219839</v>
      </c>
      <c r="Q26" s="118">
        <f t="shared" si="23"/>
        <v>219839</v>
      </c>
      <c r="S26" s="119">
        <f t="shared" si="22"/>
        <v>106110</v>
      </c>
      <c r="T26" s="120">
        <f t="shared" si="22"/>
        <v>113729</v>
      </c>
      <c r="U26" s="120">
        <f t="shared" si="22"/>
        <v>32584</v>
      </c>
      <c r="Z26" s="55" t="e">
        <f>Z29+Z32</f>
        <v>#REF!</v>
      </c>
    </row>
    <row r="27" spans="1:26" ht="13.5">
      <c r="A27" s="214"/>
      <c r="B27" s="216"/>
      <c r="C27" s="217"/>
      <c r="D27" s="122">
        <f aca="true" t="shared" si="24" ref="D27:Q27">D25/D26</f>
        <v>1.0158490143369177</v>
      </c>
      <c r="E27" s="122">
        <f t="shared" si="24"/>
        <v>1.1876697447039652</v>
      </c>
      <c r="F27" s="122">
        <f t="shared" si="24"/>
        <v>0.9250533255768858</v>
      </c>
      <c r="G27" s="122">
        <f t="shared" si="24"/>
        <v>1.1618411722996926</v>
      </c>
      <c r="H27" s="28">
        <f t="shared" si="24"/>
        <v>1.0914571721078377</v>
      </c>
      <c r="I27" s="28">
        <f t="shared" si="24"/>
        <v>1.087809917355372</v>
      </c>
      <c r="J27" s="28">
        <f t="shared" si="24"/>
        <v>0.9867613984870169</v>
      </c>
      <c r="K27" s="28">
        <f t="shared" si="24"/>
        <v>1.0121745357818814</v>
      </c>
      <c r="L27" s="28">
        <f t="shared" si="24"/>
        <v>0.9821591213501205</v>
      </c>
      <c r="M27" s="28">
        <f t="shared" si="24"/>
        <v>1.3020511057637218</v>
      </c>
      <c r="N27" s="28">
        <f t="shared" si="24"/>
        <v>1.1265822784810127</v>
      </c>
      <c r="O27" s="28">
        <f t="shared" si="24"/>
        <v>1.0088865379529226</v>
      </c>
      <c r="P27" s="121">
        <f t="shared" si="24"/>
        <v>1.0683636661374916</v>
      </c>
      <c r="Q27" s="121">
        <f t="shared" si="24"/>
        <v>1.0683636661374916</v>
      </c>
      <c r="S27" s="122">
        <f>S25/S26</f>
        <v>1.6115069267741025</v>
      </c>
      <c r="T27" s="122">
        <f>T25/T26</f>
        <v>1.0665265675421396</v>
      </c>
      <c r="U27" s="122">
        <f>U25/U26</f>
        <v>1.0935121532040266</v>
      </c>
      <c r="Z27" s="51"/>
    </row>
    <row r="28" spans="1:26" s="31" customFormat="1" ht="13.5">
      <c r="A28" s="214"/>
      <c r="B28" s="34"/>
      <c r="C28" s="208" t="s">
        <v>33</v>
      </c>
      <c r="D28" s="22">
        <v>17405</v>
      </c>
      <c r="E28" s="22">
        <v>16445</v>
      </c>
      <c r="F28" s="22">
        <v>17631</v>
      </c>
      <c r="G28" s="68">
        <v>18153</v>
      </c>
      <c r="H28" s="22">
        <v>17833</v>
      </c>
      <c r="I28" s="22">
        <v>18782</v>
      </c>
      <c r="J28" s="22">
        <f>4703+13422</f>
        <v>18125</v>
      </c>
      <c r="K28" s="22">
        <v>18189</v>
      </c>
      <c r="L28" s="22">
        <v>16563</v>
      </c>
      <c r="M28" s="22">
        <v>20093</v>
      </c>
      <c r="N28" s="22">
        <f>5096+15070</f>
        <v>20166</v>
      </c>
      <c r="O28" s="45">
        <v>18205</v>
      </c>
      <c r="P28" s="85">
        <f>SUM(D28:O28)</f>
        <v>217590</v>
      </c>
      <c r="Q28" s="85">
        <f>SUM(D28:O28)</f>
        <v>217590</v>
      </c>
      <c r="S28" s="86">
        <f>SUM(D28:L28)</f>
        <v>159126</v>
      </c>
      <c r="T28" s="97">
        <f>SUM(J28:O28)</f>
        <v>111341</v>
      </c>
      <c r="U28" s="97">
        <f>SUM(D28:E28)</f>
        <v>33850</v>
      </c>
      <c r="Z28" s="61" t="e">
        <f>#REF!+T28</f>
        <v>#REF!</v>
      </c>
    </row>
    <row r="29" spans="1:26" ht="13.5">
      <c r="A29" s="214"/>
      <c r="B29" s="13"/>
      <c r="C29" s="172"/>
      <c r="D29" s="98">
        <v>17175</v>
      </c>
      <c r="E29" s="98">
        <v>13303</v>
      </c>
      <c r="F29" s="98">
        <v>19035</v>
      </c>
      <c r="G29" s="98">
        <v>16137</v>
      </c>
      <c r="H29" s="98">
        <v>16422</v>
      </c>
      <c r="I29" s="98">
        <v>16833</v>
      </c>
      <c r="J29" s="98">
        <v>18372</v>
      </c>
      <c r="K29" s="98">
        <v>18876</v>
      </c>
      <c r="L29" s="98">
        <v>17542</v>
      </c>
      <c r="M29" s="98">
        <v>16763</v>
      </c>
      <c r="N29" s="98">
        <v>18467</v>
      </c>
      <c r="O29" s="98">
        <v>17836</v>
      </c>
      <c r="P29" s="101">
        <f>SUMPRODUCT(D29:O29,((D28:O28)&lt;&gt;"")*1)</f>
        <v>206761</v>
      </c>
      <c r="Q29" s="101">
        <f>SUM(D29:O29)</f>
        <v>206761</v>
      </c>
      <c r="S29" s="91">
        <f>SUM(D29:I29)</f>
        <v>98905</v>
      </c>
      <c r="T29" s="102">
        <f>SUM(J29:O29)</f>
        <v>107856</v>
      </c>
      <c r="U29" s="102">
        <f>SUM(D29:E29)</f>
        <v>30478</v>
      </c>
      <c r="Z29" s="55" t="e">
        <f>#REF!+T29</f>
        <v>#REF!</v>
      </c>
    </row>
    <row r="30" spans="1:26" ht="13.5">
      <c r="A30" s="214"/>
      <c r="B30" s="13"/>
      <c r="C30" s="173"/>
      <c r="D30" s="23">
        <f aca="true" t="shared" si="25" ref="D30:Q30">D28/D29</f>
        <v>1.013391557496361</v>
      </c>
      <c r="E30" s="23">
        <f t="shared" si="25"/>
        <v>1.23618732616703</v>
      </c>
      <c r="F30" s="23">
        <f t="shared" si="25"/>
        <v>0.926241134751773</v>
      </c>
      <c r="G30" s="23">
        <f t="shared" si="25"/>
        <v>1.1249302844394868</v>
      </c>
      <c r="H30" s="23">
        <f t="shared" si="25"/>
        <v>1.0859213250517599</v>
      </c>
      <c r="I30" s="23">
        <f t="shared" si="25"/>
        <v>1.1157844709796234</v>
      </c>
      <c r="J30" s="23">
        <f t="shared" si="25"/>
        <v>0.9865556281297627</v>
      </c>
      <c r="K30" s="23">
        <f t="shared" si="25"/>
        <v>0.9636045772409408</v>
      </c>
      <c r="L30" s="23">
        <f t="shared" si="25"/>
        <v>0.944191084254931</v>
      </c>
      <c r="M30" s="23">
        <f t="shared" si="25"/>
        <v>1.1986517926385492</v>
      </c>
      <c r="N30" s="23">
        <f t="shared" si="25"/>
        <v>1.0920019494232955</v>
      </c>
      <c r="O30" s="23">
        <f t="shared" si="25"/>
        <v>1.020688495178291</v>
      </c>
      <c r="P30" s="88">
        <f t="shared" si="25"/>
        <v>1.0523744806805926</v>
      </c>
      <c r="Q30" s="88">
        <f t="shared" si="25"/>
        <v>1.0523744806805926</v>
      </c>
      <c r="S30" s="23">
        <f>S28/S29</f>
        <v>1.6088772053991203</v>
      </c>
      <c r="T30" s="23">
        <f>T28/T29</f>
        <v>1.0323116006527222</v>
      </c>
      <c r="U30" s="23">
        <f>U28/U29</f>
        <v>1.110637180917383</v>
      </c>
      <c r="Z30" s="53"/>
    </row>
    <row r="31" spans="1:26" s="31" customFormat="1" ht="13.5">
      <c r="A31" s="214"/>
      <c r="B31" s="34"/>
      <c r="C31" s="198" t="s">
        <v>2</v>
      </c>
      <c r="D31" s="37">
        <v>734</v>
      </c>
      <c r="E31" s="37">
        <v>1047</v>
      </c>
      <c r="F31" s="37">
        <v>1451</v>
      </c>
      <c r="G31" s="37">
        <v>1510</v>
      </c>
      <c r="H31" s="37">
        <f>51+1306</f>
        <v>1357</v>
      </c>
      <c r="I31" s="37">
        <v>1225</v>
      </c>
      <c r="J31" s="37">
        <f>28+1152</f>
        <v>1180</v>
      </c>
      <c r="K31" s="37">
        <v>1598</v>
      </c>
      <c r="L31" s="37">
        <v>1769</v>
      </c>
      <c r="M31" s="37">
        <v>2633</v>
      </c>
      <c r="N31" s="37">
        <f>86+1820</f>
        <v>1906</v>
      </c>
      <c r="O31" s="46">
        <v>868</v>
      </c>
      <c r="P31" s="89">
        <f>SUM(D31:O31)</f>
        <v>17278</v>
      </c>
      <c r="Q31" s="89">
        <f>SUM(D31:O31)</f>
        <v>17278</v>
      </c>
      <c r="S31" s="39">
        <f>SUM(D31:L31)</f>
        <v>11871</v>
      </c>
      <c r="T31" s="105">
        <f>SUM(J31:O31)</f>
        <v>9954</v>
      </c>
      <c r="U31" s="105">
        <f>SUM(D31:E31)</f>
        <v>1781</v>
      </c>
      <c r="Z31" s="62" t="e">
        <f>#REF!+T31</f>
        <v>#REF!</v>
      </c>
    </row>
    <row r="32" spans="1:26" ht="13.5">
      <c r="A32" s="214"/>
      <c r="B32" s="13"/>
      <c r="C32" s="198"/>
      <c r="D32" s="98">
        <v>681</v>
      </c>
      <c r="E32" s="98">
        <v>1425</v>
      </c>
      <c r="F32" s="98">
        <v>1593</v>
      </c>
      <c r="G32" s="98">
        <v>787</v>
      </c>
      <c r="H32" s="98">
        <v>1160</v>
      </c>
      <c r="I32" s="98">
        <v>1559</v>
      </c>
      <c r="J32" s="98">
        <v>1192</v>
      </c>
      <c r="K32" s="98">
        <v>673</v>
      </c>
      <c r="L32" s="98">
        <v>1123</v>
      </c>
      <c r="M32" s="98">
        <v>691</v>
      </c>
      <c r="N32" s="98">
        <v>1125</v>
      </c>
      <c r="O32" s="98">
        <v>1069</v>
      </c>
      <c r="P32" s="101">
        <f>SUMPRODUCT(D32:O32,((D31:O31)&lt;&gt;"")*1)</f>
        <v>13078</v>
      </c>
      <c r="Q32" s="101">
        <f>SUM(D32:O32)</f>
        <v>13078</v>
      </c>
      <c r="S32" s="91">
        <f>SUM(D32:I32)</f>
        <v>7205</v>
      </c>
      <c r="T32" s="102">
        <f>SUM(J32:O32)</f>
        <v>5873</v>
      </c>
      <c r="U32" s="102">
        <f>SUM(D32:E32)</f>
        <v>2106</v>
      </c>
      <c r="Z32" s="55" t="e">
        <f>#REF!+T32</f>
        <v>#REF!</v>
      </c>
    </row>
    <row r="33" spans="1:26" ht="13.5">
      <c r="A33" s="215"/>
      <c r="B33" s="14"/>
      <c r="C33" s="199"/>
      <c r="D33" s="17">
        <f aca="true" t="shared" si="26" ref="D33:Q33">D31/D32</f>
        <v>1.0778267254038179</v>
      </c>
      <c r="E33" s="17">
        <f t="shared" si="26"/>
        <v>0.7347368421052631</v>
      </c>
      <c r="F33" s="17">
        <f t="shared" si="26"/>
        <v>0.9108600125549278</v>
      </c>
      <c r="G33" s="17">
        <f t="shared" si="26"/>
        <v>1.9186785260482846</v>
      </c>
      <c r="H33" s="17">
        <f t="shared" si="26"/>
        <v>1.1698275862068965</v>
      </c>
      <c r="I33" s="17">
        <f t="shared" si="26"/>
        <v>0.7857601026298909</v>
      </c>
      <c r="J33" s="17">
        <f t="shared" si="26"/>
        <v>0.9899328859060402</v>
      </c>
      <c r="K33" s="17">
        <f t="shared" si="26"/>
        <v>2.37444279346211</v>
      </c>
      <c r="L33" s="17">
        <f t="shared" si="26"/>
        <v>1.5752448797862868</v>
      </c>
      <c r="M33" s="17">
        <f t="shared" si="26"/>
        <v>3.8104196816208393</v>
      </c>
      <c r="N33" s="17">
        <f t="shared" si="26"/>
        <v>1.6942222222222223</v>
      </c>
      <c r="O33" s="17">
        <f t="shared" si="26"/>
        <v>0.8119738072965388</v>
      </c>
      <c r="P33" s="90">
        <f t="shared" si="26"/>
        <v>1.3211500229392874</v>
      </c>
      <c r="Q33" s="90">
        <f t="shared" si="26"/>
        <v>1.3211500229392874</v>
      </c>
      <c r="S33" s="84">
        <f>S31/S32</f>
        <v>1.6476058292852187</v>
      </c>
      <c r="T33" s="17">
        <f>T31/T32</f>
        <v>1.6948748510131109</v>
      </c>
      <c r="U33" s="17">
        <f>U31/U32</f>
        <v>0.845679012345679</v>
      </c>
      <c r="Z33" s="51"/>
    </row>
    <row r="34" spans="1:26" s="31" customFormat="1" ht="13.5" customHeight="1">
      <c r="A34" s="175" t="s">
        <v>34</v>
      </c>
      <c r="B34" s="176"/>
      <c r="C34" s="176"/>
      <c r="D34" s="37">
        <f aca="true" t="shared" si="27" ref="D34:N35">D43+D52</f>
        <v>5697</v>
      </c>
      <c r="E34" s="37">
        <f t="shared" si="27"/>
        <v>6165</v>
      </c>
      <c r="F34" s="37">
        <f t="shared" si="27"/>
        <v>8821</v>
      </c>
      <c r="G34" s="37">
        <f t="shared" si="27"/>
        <v>6622</v>
      </c>
      <c r="H34" s="21">
        <f t="shared" si="27"/>
        <v>6668</v>
      </c>
      <c r="I34" s="21">
        <f t="shared" si="27"/>
        <v>7245</v>
      </c>
      <c r="J34" s="21">
        <f t="shared" si="27"/>
        <v>7433</v>
      </c>
      <c r="K34" s="21">
        <f t="shared" si="27"/>
        <v>7262</v>
      </c>
      <c r="L34" s="21">
        <f t="shared" si="27"/>
        <v>6680</v>
      </c>
      <c r="M34" s="21">
        <f t="shared" si="27"/>
        <v>8091</v>
      </c>
      <c r="N34" s="21">
        <f t="shared" si="27"/>
        <v>6201</v>
      </c>
      <c r="O34" s="21">
        <f>O43+O52</f>
        <v>7125</v>
      </c>
      <c r="P34" s="85">
        <f>P37+P40</f>
        <v>84010</v>
      </c>
      <c r="Q34" s="85">
        <f>Q37+Q40</f>
        <v>84010</v>
      </c>
      <c r="S34" s="86">
        <f>S37+S40</f>
        <v>62593</v>
      </c>
      <c r="T34" s="97">
        <f>T43+T52</f>
        <v>42792</v>
      </c>
      <c r="U34" s="97">
        <f>U43+U52</f>
        <v>11862</v>
      </c>
      <c r="Z34" s="61" t="e">
        <f>Z37+Z40</f>
        <v>#REF!</v>
      </c>
    </row>
    <row r="35" spans="1:26" ht="13.5">
      <c r="A35" s="177"/>
      <c r="B35" s="178"/>
      <c r="C35" s="178"/>
      <c r="D35" s="98">
        <f aca="true" t="shared" si="28" ref="D35:O35">D44+D53</f>
        <v>5531</v>
      </c>
      <c r="E35" s="98">
        <f t="shared" si="28"/>
        <v>7443</v>
      </c>
      <c r="F35" s="99">
        <f t="shared" si="28"/>
        <v>8020</v>
      </c>
      <c r="G35" s="98">
        <f t="shared" si="28"/>
        <v>8990</v>
      </c>
      <c r="H35" s="99">
        <f t="shared" si="27"/>
        <v>8165</v>
      </c>
      <c r="I35" s="98">
        <f t="shared" si="28"/>
        <v>6785</v>
      </c>
      <c r="J35" s="99">
        <f t="shared" si="28"/>
        <v>7387</v>
      </c>
      <c r="K35" s="98">
        <f t="shared" si="28"/>
        <v>6806</v>
      </c>
      <c r="L35" s="99">
        <f t="shared" si="28"/>
        <v>6788</v>
      </c>
      <c r="M35" s="98">
        <f t="shared" si="28"/>
        <v>7275</v>
      </c>
      <c r="N35" s="72">
        <f t="shared" si="28"/>
        <v>7772</v>
      </c>
      <c r="O35" s="100">
        <f t="shared" si="28"/>
        <v>7813</v>
      </c>
      <c r="P35" s="101">
        <f>P38+P41</f>
        <v>88775</v>
      </c>
      <c r="Q35" s="101">
        <f>Q38+Q41</f>
        <v>88775</v>
      </c>
      <c r="S35" s="91">
        <f>S38+S41</f>
        <v>44934</v>
      </c>
      <c r="T35" s="102">
        <f>T44+T53</f>
        <v>43841</v>
      </c>
      <c r="U35" s="102">
        <f>U44+U53</f>
        <v>12974</v>
      </c>
      <c r="Z35" s="55" t="e">
        <f>Z38+Z41</f>
        <v>#REF!</v>
      </c>
    </row>
    <row r="36" spans="1:26" ht="13.5">
      <c r="A36" s="177"/>
      <c r="B36" s="178"/>
      <c r="C36" s="178"/>
      <c r="D36" s="109">
        <f aca="true" t="shared" si="29" ref="D36:Q36">D34/D35</f>
        <v>1.0300126559392515</v>
      </c>
      <c r="E36" s="109">
        <f t="shared" si="29"/>
        <v>0.8282950423216445</v>
      </c>
      <c r="F36" s="109">
        <f t="shared" si="29"/>
        <v>1.0998753117206983</v>
      </c>
      <c r="G36" s="109">
        <f t="shared" si="29"/>
        <v>0.7365962180200223</v>
      </c>
      <c r="H36" s="5">
        <f t="shared" si="29"/>
        <v>0.8166564605021432</v>
      </c>
      <c r="I36" s="5">
        <f t="shared" si="29"/>
        <v>1.0677966101694916</v>
      </c>
      <c r="J36" s="5">
        <f t="shared" si="29"/>
        <v>1.0062271558142684</v>
      </c>
      <c r="K36" s="5">
        <f t="shared" si="29"/>
        <v>1.0669997061416396</v>
      </c>
      <c r="L36" s="5">
        <f t="shared" si="29"/>
        <v>0.9840895698291102</v>
      </c>
      <c r="M36" s="5">
        <f t="shared" si="29"/>
        <v>1.1121649484536082</v>
      </c>
      <c r="N36" s="5">
        <f t="shared" si="29"/>
        <v>0.7978641276376737</v>
      </c>
      <c r="O36" s="5">
        <f t="shared" si="29"/>
        <v>0.911941635735313</v>
      </c>
      <c r="P36" s="108">
        <f t="shared" si="29"/>
        <v>0.946324978879189</v>
      </c>
      <c r="Q36" s="108">
        <f t="shared" si="29"/>
        <v>0.946324978879189</v>
      </c>
      <c r="S36" s="109">
        <f>S34/S35</f>
        <v>1.3929986201985134</v>
      </c>
      <c r="T36" s="109">
        <f>T34/T35</f>
        <v>0.9760726260806095</v>
      </c>
      <c r="U36" s="109">
        <f>U34/U35</f>
        <v>0.9142901186989363</v>
      </c>
      <c r="Z36" s="60"/>
    </row>
    <row r="37" spans="1:26" s="31" customFormat="1" ht="13.5" customHeight="1">
      <c r="A37" s="214"/>
      <c r="B37" s="179" t="s">
        <v>36</v>
      </c>
      <c r="C37" s="181"/>
      <c r="D37" s="22">
        <f aca="true" t="shared" si="30" ref="D37:Q38">D46+D55</f>
        <v>2904</v>
      </c>
      <c r="E37" s="22">
        <f t="shared" si="30"/>
        <v>2699</v>
      </c>
      <c r="F37" s="22">
        <f t="shared" si="30"/>
        <v>3210</v>
      </c>
      <c r="G37" s="22">
        <f t="shared" si="30"/>
        <v>2833</v>
      </c>
      <c r="H37" s="20">
        <f t="shared" si="30"/>
        <v>3028</v>
      </c>
      <c r="I37" s="20">
        <f t="shared" si="30"/>
        <v>3282</v>
      </c>
      <c r="J37" s="20">
        <f t="shared" si="30"/>
        <v>3399</v>
      </c>
      <c r="K37" s="20">
        <f t="shared" si="30"/>
        <v>3134</v>
      </c>
      <c r="L37" s="20">
        <f t="shared" si="30"/>
        <v>3413</v>
      </c>
      <c r="M37" s="20">
        <f t="shared" si="30"/>
        <v>3367</v>
      </c>
      <c r="N37" s="20">
        <f t="shared" si="30"/>
        <v>2857</v>
      </c>
      <c r="O37" s="20">
        <f>O46+O55</f>
        <v>3157</v>
      </c>
      <c r="P37" s="85">
        <f t="shared" si="30"/>
        <v>37283</v>
      </c>
      <c r="Q37" s="85">
        <f t="shared" si="30"/>
        <v>37283</v>
      </c>
      <c r="S37" s="86">
        <f aca="true" t="shared" si="31" ref="S37:U38">S46+S55</f>
        <v>27902</v>
      </c>
      <c r="T37" s="97">
        <f t="shared" si="31"/>
        <v>19327</v>
      </c>
      <c r="U37" s="97">
        <f t="shared" si="31"/>
        <v>5603</v>
      </c>
      <c r="Z37" s="61" t="e">
        <f>Z46+Z55</f>
        <v>#REF!</v>
      </c>
    </row>
    <row r="38" spans="1:26" ht="13.5" customHeight="1">
      <c r="A38" s="214"/>
      <c r="B38" s="168"/>
      <c r="C38" s="182"/>
      <c r="D38" s="98">
        <f aca="true" t="shared" si="32" ref="D38:Q38">D47+D56</f>
        <v>3237</v>
      </c>
      <c r="E38" s="98">
        <f t="shared" si="32"/>
        <v>3078</v>
      </c>
      <c r="F38" s="99">
        <f t="shared" si="32"/>
        <v>3301</v>
      </c>
      <c r="G38" s="98">
        <f t="shared" si="32"/>
        <v>4121</v>
      </c>
      <c r="H38" s="99">
        <f t="shared" si="30"/>
        <v>4721</v>
      </c>
      <c r="I38" s="98">
        <f t="shared" si="32"/>
        <v>3817</v>
      </c>
      <c r="J38" s="99">
        <f t="shared" si="32"/>
        <v>4149</v>
      </c>
      <c r="K38" s="98">
        <f t="shared" si="32"/>
        <v>3511</v>
      </c>
      <c r="L38" s="99">
        <f t="shared" si="32"/>
        <v>3662</v>
      </c>
      <c r="M38" s="98">
        <f t="shared" si="32"/>
        <v>3885</v>
      </c>
      <c r="N38" s="72">
        <f t="shared" si="32"/>
        <v>3749</v>
      </c>
      <c r="O38" s="100">
        <f t="shared" si="32"/>
        <v>3312</v>
      </c>
      <c r="P38" s="101">
        <f t="shared" si="32"/>
        <v>44543</v>
      </c>
      <c r="Q38" s="101">
        <f t="shared" si="32"/>
        <v>44543</v>
      </c>
      <c r="S38" s="91">
        <f t="shared" si="31"/>
        <v>22275</v>
      </c>
      <c r="T38" s="102">
        <f t="shared" si="31"/>
        <v>22268</v>
      </c>
      <c r="U38" s="102">
        <f t="shared" si="31"/>
        <v>6315</v>
      </c>
      <c r="Z38" s="55" t="e">
        <f>Z47+Z56</f>
        <v>#REF!</v>
      </c>
    </row>
    <row r="39" spans="1:26" ht="13.5" customHeight="1">
      <c r="A39" s="214"/>
      <c r="B39" s="180"/>
      <c r="C39" s="183"/>
      <c r="D39" s="109">
        <f aca="true" t="shared" si="33" ref="D39:Q39">D37/D38</f>
        <v>0.897126969416126</v>
      </c>
      <c r="E39" s="109">
        <f t="shared" si="33"/>
        <v>0.8768680961663418</v>
      </c>
      <c r="F39" s="109">
        <f t="shared" si="33"/>
        <v>0.9724325961829748</v>
      </c>
      <c r="G39" s="109">
        <f t="shared" si="33"/>
        <v>0.6874545013346275</v>
      </c>
      <c r="H39" s="5">
        <f t="shared" si="33"/>
        <v>0.6413895361152299</v>
      </c>
      <c r="I39" s="5">
        <f t="shared" si="33"/>
        <v>0.8598375687712864</v>
      </c>
      <c r="J39" s="5">
        <f t="shared" si="33"/>
        <v>0.819233550253073</v>
      </c>
      <c r="K39" s="5">
        <f t="shared" si="33"/>
        <v>0.8926231842779835</v>
      </c>
      <c r="L39" s="5">
        <f t="shared" si="33"/>
        <v>0.93200436919716</v>
      </c>
      <c r="M39" s="5">
        <f t="shared" si="33"/>
        <v>0.8666666666666667</v>
      </c>
      <c r="N39" s="5">
        <f t="shared" si="33"/>
        <v>0.7620698853027474</v>
      </c>
      <c r="O39" s="5">
        <f t="shared" si="33"/>
        <v>0.9532004830917874</v>
      </c>
      <c r="P39" s="108">
        <f t="shared" si="33"/>
        <v>0.8370114271602721</v>
      </c>
      <c r="Q39" s="108">
        <f t="shared" si="33"/>
        <v>0.8370114271602721</v>
      </c>
      <c r="S39" s="109">
        <f>S37/S38</f>
        <v>1.252615039281706</v>
      </c>
      <c r="T39" s="109">
        <f>T37/T38</f>
        <v>0.8679270702353152</v>
      </c>
      <c r="U39" s="109">
        <f>U37/U38</f>
        <v>0.8872525732383214</v>
      </c>
      <c r="Z39" s="60"/>
    </row>
    <row r="40" spans="1:26" s="31" customFormat="1" ht="13.5" customHeight="1">
      <c r="A40" s="214"/>
      <c r="B40" s="168" t="s">
        <v>37</v>
      </c>
      <c r="C40" s="182"/>
      <c r="D40" s="37">
        <f aca="true" t="shared" si="34" ref="D40:Q41">D49+D58</f>
        <v>2793</v>
      </c>
      <c r="E40" s="37">
        <f t="shared" si="34"/>
        <v>3466</v>
      </c>
      <c r="F40" s="37">
        <f t="shared" si="34"/>
        <v>5611</v>
      </c>
      <c r="G40" s="37">
        <f t="shared" si="34"/>
        <v>3789</v>
      </c>
      <c r="H40" s="21">
        <f t="shared" si="34"/>
        <v>3640</v>
      </c>
      <c r="I40" s="21">
        <f t="shared" si="34"/>
        <v>3963</v>
      </c>
      <c r="J40" s="21">
        <f t="shared" si="34"/>
        <v>4034</v>
      </c>
      <c r="K40" s="21">
        <f t="shared" si="34"/>
        <v>4128</v>
      </c>
      <c r="L40" s="21">
        <f t="shared" si="34"/>
        <v>3267</v>
      </c>
      <c r="M40" s="21">
        <f t="shared" si="34"/>
        <v>4724</v>
      </c>
      <c r="N40" s="21">
        <f t="shared" si="34"/>
        <v>3344</v>
      </c>
      <c r="O40" s="21">
        <f>O49+O58</f>
        <v>3968</v>
      </c>
      <c r="P40" s="89">
        <f t="shared" si="34"/>
        <v>46727</v>
      </c>
      <c r="Q40" s="89">
        <f t="shared" si="34"/>
        <v>46727</v>
      </c>
      <c r="S40" s="39">
        <f aca="true" t="shared" si="35" ref="S40:U41">S49+S58</f>
        <v>34691</v>
      </c>
      <c r="T40" s="105">
        <f t="shared" si="35"/>
        <v>23465</v>
      </c>
      <c r="U40" s="105">
        <f t="shared" si="35"/>
        <v>6259</v>
      </c>
      <c r="Z40" s="62" t="e">
        <f>Z49+Z58</f>
        <v>#REF!</v>
      </c>
    </row>
    <row r="41" spans="1:26" ht="13.5" customHeight="1">
      <c r="A41" s="214"/>
      <c r="B41" s="168"/>
      <c r="C41" s="182"/>
      <c r="D41" s="98">
        <f aca="true" t="shared" si="36" ref="D41:Q41">D50+D59</f>
        <v>2294</v>
      </c>
      <c r="E41" s="98">
        <f t="shared" si="36"/>
        <v>4365</v>
      </c>
      <c r="F41" s="99">
        <f t="shared" si="36"/>
        <v>4719</v>
      </c>
      <c r="G41" s="98">
        <f t="shared" si="36"/>
        <v>4869</v>
      </c>
      <c r="H41" s="99">
        <f t="shared" si="34"/>
        <v>3444</v>
      </c>
      <c r="I41" s="98">
        <f t="shared" si="36"/>
        <v>2968</v>
      </c>
      <c r="J41" s="99">
        <f t="shared" si="36"/>
        <v>3238</v>
      </c>
      <c r="K41" s="98">
        <f t="shared" si="36"/>
        <v>3295</v>
      </c>
      <c r="L41" s="99">
        <f t="shared" si="36"/>
        <v>3126</v>
      </c>
      <c r="M41" s="98">
        <f t="shared" si="36"/>
        <v>3390</v>
      </c>
      <c r="N41" s="72">
        <f t="shared" si="36"/>
        <v>4023</v>
      </c>
      <c r="O41" s="100">
        <f t="shared" si="36"/>
        <v>4501</v>
      </c>
      <c r="P41" s="101">
        <f t="shared" si="36"/>
        <v>44232</v>
      </c>
      <c r="Q41" s="101">
        <f t="shared" si="36"/>
        <v>44232</v>
      </c>
      <c r="S41" s="91">
        <f t="shared" si="35"/>
        <v>22659</v>
      </c>
      <c r="T41" s="102">
        <f t="shared" si="35"/>
        <v>21573</v>
      </c>
      <c r="U41" s="102">
        <f t="shared" si="35"/>
        <v>6659</v>
      </c>
      <c r="Z41" s="55" t="e">
        <f>Z50+Z59</f>
        <v>#REF!</v>
      </c>
    </row>
    <row r="42" spans="1:26" ht="13.5" customHeight="1" thickBot="1">
      <c r="A42" s="214"/>
      <c r="B42" s="169"/>
      <c r="C42" s="213"/>
      <c r="D42" s="111">
        <f aca="true" t="shared" si="37" ref="D42:Q42">D40/D41</f>
        <v>1.2175239755884917</v>
      </c>
      <c r="E42" s="111">
        <f t="shared" si="37"/>
        <v>0.7940435280641466</v>
      </c>
      <c r="F42" s="111">
        <f t="shared" si="37"/>
        <v>1.1890230981140073</v>
      </c>
      <c r="G42" s="111">
        <f t="shared" si="37"/>
        <v>0.7781885397412199</v>
      </c>
      <c r="H42" s="10">
        <f t="shared" si="37"/>
        <v>1.056910569105691</v>
      </c>
      <c r="I42" s="10">
        <f t="shared" si="37"/>
        <v>1.335242587601078</v>
      </c>
      <c r="J42" s="10">
        <f t="shared" si="37"/>
        <v>1.2458307597282272</v>
      </c>
      <c r="K42" s="10">
        <f t="shared" si="37"/>
        <v>1.2528072837632778</v>
      </c>
      <c r="L42" s="10">
        <f t="shared" si="37"/>
        <v>1.04510556621881</v>
      </c>
      <c r="M42" s="10">
        <f t="shared" si="37"/>
        <v>1.3935103244837759</v>
      </c>
      <c r="N42" s="10">
        <f t="shared" si="37"/>
        <v>0.8312204822271937</v>
      </c>
      <c r="O42" s="10">
        <f t="shared" si="37"/>
        <v>0.8815818706954011</v>
      </c>
      <c r="P42" s="110">
        <f t="shared" si="37"/>
        <v>1.0564071260625791</v>
      </c>
      <c r="Q42" s="110">
        <f t="shared" si="37"/>
        <v>1.0564071260625791</v>
      </c>
      <c r="S42" s="111">
        <f>S40/S41</f>
        <v>1.531003133412772</v>
      </c>
      <c r="T42" s="111">
        <f>T40/T41</f>
        <v>1.0877022203680526</v>
      </c>
      <c r="U42" s="111">
        <f>U40/U41</f>
        <v>0.9399309205586425</v>
      </c>
      <c r="Z42" s="58"/>
    </row>
    <row r="43" spans="1:26" s="31" customFormat="1" ht="14.25" thickTop="1">
      <c r="A43" s="214"/>
      <c r="B43" s="211" t="s">
        <v>29</v>
      </c>
      <c r="C43" s="212"/>
      <c r="D43" s="92">
        <f aca="true" t="shared" si="38" ref="D43:Q44">D46+D49</f>
        <v>2592</v>
      </c>
      <c r="E43" s="92">
        <f t="shared" si="38"/>
        <v>2463</v>
      </c>
      <c r="F43" s="92">
        <f t="shared" si="38"/>
        <v>3120</v>
      </c>
      <c r="G43" s="92">
        <f t="shared" si="38"/>
        <v>2438</v>
      </c>
      <c r="H43" s="35">
        <f t="shared" si="38"/>
        <v>2771</v>
      </c>
      <c r="I43" s="35">
        <f t="shared" si="38"/>
        <v>2464</v>
      </c>
      <c r="J43" s="35">
        <f t="shared" si="38"/>
        <v>3449</v>
      </c>
      <c r="K43" s="35">
        <f t="shared" si="38"/>
        <v>3122</v>
      </c>
      <c r="L43" s="35">
        <f t="shared" si="38"/>
        <v>2874</v>
      </c>
      <c r="M43" s="35">
        <f t="shared" si="38"/>
        <v>3199</v>
      </c>
      <c r="N43" s="35">
        <f t="shared" si="38"/>
        <v>2407</v>
      </c>
      <c r="O43" s="35">
        <f t="shared" si="38"/>
        <v>2319</v>
      </c>
      <c r="P43" s="126">
        <f t="shared" si="38"/>
        <v>33218</v>
      </c>
      <c r="Q43" s="126">
        <f t="shared" si="38"/>
        <v>33218</v>
      </c>
      <c r="S43" s="127">
        <f aca="true" t="shared" si="39" ref="S43:U44">S46+S49</f>
        <v>25293</v>
      </c>
      <c r="T43" s="128">
        <f t="shared" si="39"/>
        <v>17370</v>
      </c>
      <c r="U43" s="128">
        <f t="shared" si="39"/>
        <v>5055</v>
      </c>
      <c r="Z43" s="62" t="e">
        <f>Z46+Z49</f>
        <v>#REF!</v>
      </c>
    </row>
    <row r="44" spans="1:26" ht="13.5">
      <c r="A44" s="214"/>
      <c r="B44" s="211"/>
      <c r="C44" s="212"/>
      <c r="D44" s="129">
        <f aca="true" t="shared" si="40" ref="D44:Q44">D47+D50</f>
        <v>2339</v>
      </c>
      <c r="E44" s="129">
        <f t="shared" si="40"/>
        <v>2999</v>
      </c>
      <c r="F44" s="130">
        <f t="shared" si="40"/>
        <v>2852</v>
      </c>
      <c r="G44" s="129">
        <f t="shared" si="40"/>
        <v>2957</v>
      </c>
      <c r="H44" s="130">
        <f t="shared" si="38"/>
        <v>3148</v>
      </c>
      <c r="I44" s="129">
        <f t="shared" si="40"/>
        <v>2525</v>
      </c>
      <c r="J44" s="130">
        <f t="shared" si="40"/>
        <v>3312</v>
      </c>
      <c r="K44" s="129">
        <f t="shared" si="40"/>
        <v>2983</v>
      </c>
      <c r="L44" s="130">
        <f t="shared" si="40"/>
        <v>2969</v>
      </c>
      <c r="M44" s="129">
        <f t="shared" si="40"/>
        <v>3422</v>
      </c>
      <c r="N44" s="76">
        <f t="shared" si="40"/>
        <v>2817</v>
      </c>
      <c r="O44" s="131">
        <f t="shared" si="40"/>
        <v>3607</v>
      </c>
      <c r="P44" s="132">
        <f t="shared" si="40"/>
        <v>35930</v>
      </c>
      <c r="Q44" s="132">
        <f t="shared" si="40"/>
        <v>35930</v>
      </c>
      <c r="S44" s="133">
        <f t="shared" si="39"/>
        <v>16820</v>
      </c>
      <c r="T44" s="134">
        <f t="shared" si="39"/>
        <v>19110</v>
      </c>
      <c r="U44" s="134">
        <f t="shared" si="39"/>
        <v>5338</v>
      </c>
      <c r="Z44" s="55" t="e">
        <f>Z47+Z50</f>
        <v>#REF!</v>
      </c>
    </row>
    <row r="45" spans="1:26" ht="13.5">
      <c r="A45" s="214"/>
      <c r="B45" s="211"/>
      <c r="C45" s="212"/>
      <c r="D45" s="136">
        <f aca="true" t="shared" si="41" ref="D45:Q45">D43/D44</f>
        <v>1.1081658828559213</v>
      </c>
      <c r="E45" s="136">
        <f t="shared" si="41"/>
        <v>0.8212737579193065</v>
      </c>
      <c r="F45" s="136">
        <f t="shared" si="41"/>
        <v>1.0939691444600281</v>
      </c>
      <c r="G45" s="136">
        <f t="shared" si="41"/>
        <v>0.8244842746026378</v>
      </c>
      <c r="H45" s="29">
        <f t="shared" si="41"/>
        <v>0.8802414231257941</v>
      </c>
      <c r="I45" s="29">
        <f t="shared" si="41"/>
        <v>0.9758415841584158</v>
      </c>
      <c r="J45" s="29">
        <f t="shared" si="41"/>
        <v>1.041364734299517</v>
      </c>
      <c r="K45" s="29">
        <f t="shared" si="41"/>
        <v>1.046597385182702</v>
      </c>
      <c r="L45" s="29">
        <f t="shared" si="41"/>
        <v>0.968002694509936</v>
      </c>
      <c r="M45" s="29">
        <f t="shared" si="41"/>
        <v>0.934833430742256</v>
      </c>
      <c r="N45" s="29">
        <f t="shared" si="41"/>
        <v>0.8544550940717075</v>
      </c>
      <c r="O45" s="29">
        <f t="shared" si="41"/>
        <v>0.6429165511505406</v>
      </c>
      <c r="P45" s="135">
        <f t="shared" si="41"/>
        <v>0.9245198998051767</v>
      </c>
      <c r="Q45" s="135">
        <f t="shared" si="41"/>
        <v>0.9245198998051767</v>
      </c>
      <c r="S45" s="136">
        <f>S43/S44</f>
        <v>1.5037455410225922</v>
      </c>
      <c r="T45" s="136">
        <f>T43/T44</f>
        <v>0.9089481946624803</v>
      </c>
      <c r="U45" s="136">
        <f>U43/U44</f>
        <v>0.9469838890970401</v>
      </c>
      <c r="Z45" s="51"/>
    </row>
    <row r="46" spans="1:26" s="31" customFormat="1" ht="13.5">
      <c r="A46" s="214"/>
      <c r="B46" s="36"/>
      <c r="C46" s="208" t="s">
        <v>33</v>
      </c>
      <c r="D46" s="22">
        <v>1286</v>
      </c>
      <c r="E46" s="22">
        <v>1379</v>
      </c>
      <c r="F46" s="22">
        <f>1461+46</f>
        <v>1507</v>
      </c>
      <c r="G46" s="22">
        <f>1507+114</f>
        <v>1621</v>
      </c>
      <c r="H46" s="22">
        <f>134+1322+63</f>
        <v>1519</v>
      </c>
      <c r="I46" s="22">
        <f>169+1344+108</f>
        <v>1621</v>
      </c>
      <c r="J46" s="22">
        <f>175+1726+180</f>
        <v>2081</v>
      </c>
      <c r="K46" s="22">
        <f>1477+136</f>
        <v>1613</v>
      </c>
      <c r="L46" s="22">
        <f>1692+180</f>
        <v>1872</v>
      </c>
      <c r="M46" s="22">
        <f>1811+184</f>
        <v>1995</v>
      </c>
      <c r="N46" s="22">
        <f>137+1312+128</f>
        <v>1577</v>
      </c>
      <c r="O46" s="45">
        <f>1648+180</f>
        <v>1828</v>
      </c>
      <c r="P46" s="85">
        <f>SUM(D46:O46)</f>
        <v>19899</v>
      </c>
      <c r="Q46" s="85">
        <f>SUM(D46:O46)</f>
        <v>19899</v>
      </c>
      <c r="S46" s="86">
        <f>SUM(D46:L46)</f>
        <v>14499</v>
      </c>
      <c r="T46" s="97">
        <f>SUM(J46:O46)</f>
        <v>10966</v>
      </c>
      <c r="U46" s="97">
        <f>SUM(D46:E46)</f>
        <v>2665</v>
      </c>
      <c r="Z46" s="61" t="e">
        <f>#REF!+T46</f>
        <v>#REF!</v>
      </c>
    </row>
    <row r="47" spans="1:26" ht="13.5">
      <c r="A47" s="214"/>
      <c r="B47" s="18"/>
      <c r="C47" s="172"/>
      <c r="D47" s="98">
        <v>1613</v>
      </c>
      <c r="E47" s="98">
        <v>1665</v>
      </c>
      <c r="F47" s="98">
        <v>1921</v>
      </c>
      <c r="G47" s="98">
        <v>1818</v>
      </c>
      <c r="H47" s="98">
        <v>1763</v>
      </c>
      <c r="I47" s="98">
        <v>1560</v>
      </c>
      <c r="J47" s="98">
        <v>2016</v>
      </c>
      <c r="K47" s="98">
        <v>1625</v>
      </c>
      <c r="L47" s="98">
        <v>1825</v>
      </c>
      <c r="M47" s="98">
        <v>1867</v>
      </c>
      <c r="N47" s="98">
        <v>1647</v>
      </c>
      <c r="O47" s="98">
        <v>1643</v>
      </c>
      <c r="P47" s="101">
        <f>SUMPRODUCT(D47:O47,((D46:O46)&lt;&gt;"")*1)</f>
        <v>20963</v>
      </c>
      <c r="Q47" s="101">
        <f>SUM(D47:O47)</f>
        <v>20963</v>
      </c>
      <c r="S47" s="91">
        <f>SUM(D47:I47)</f>
        <v>10340</v>
      </c>
      <c r="T47" s="102">
        <f>SUM(J47:O47)</f>
        <v>10623</v>
      </c>
      <c r="U47" s="102">
        <f>SUM(D47:E47)</f>
        <v>3278</v>
      </c>
      <c r="Z47" s="55" t="e">
        <f>#REF!+T47</f>
        <v>#REF!</v>
      </c>
    </row>
    <row r="48" spans="1:26" ht="13.5">
      <c r="A48" s="214"/>
      <c r="B48" s="18"/>
      <c r="C48" s="173"/>
      <c r="D48" s="87">
        <f aca="true" t="shared" si="42" ref="D48:Q48">D46/D47</f>
        <v>0.7972721636701798</v>
      </c>
      <c r="E48" s="87">
        <f t="shared" si="42"/>
        <v>0.8282282282282283</v>
      </c>
      <c r="F48" s="87">
        <f t="shared" si="42"/>
        <v>0.784487246225924</v>
      </c>
      <c r="G48" s="87">
        <f t="shared" si="42"/>
        <v>0.8916391639163916</v>
      </c>
      <c r="H48" s="87">
        <f t="shared" si="42"/>
        <v>0.8615995462280204</v>
      </c>
      <c r="I48" s="87">
        <f t="shared" si="42"/>
        <v>1.0391025641025642</v>
      </c>
      <c r="J48" s="87">
        <f t="shared" si="42"/>
        <v>1.0322420634920635</v>
      </c>
      <c r="K48" s="87">
        <f t="shared" si="42"/>
        <v>0.9926153846153846</v>
      </c>
      <c r="L48" s="23">
        <f t="shared" si="42"/>
        <v>1.0257534246575342</v>
      </c>
      <c r="M48" s="23">
        <f t="shared" si="42"/>
        <v>1.068559185859668</v>
      </c>
      <c r="N48" s="23">
        <f t="shared" si="42"/>
        <v>0.9574984820886461</v>
      </c>
      <c r="O48" s="23">
        <f t="shared" si="42"/>
        <v>1.112598904443092</v>
      </c>
      <c r="P48" s="88">
        <f t="shared" si="42"/>
        <v>0.9492439059294948</v>
      </c>
      <c r="Q48" s="88">
        <f t="shared" si="42"/>
        <v>0.9492439059294948</v>
      </c>
      <c r="S48" s="23">
        <f>S46/S47</f>
        <v>1.4022243713733076</v>
      </c>
      <c r="T48" s="23">
        <f>T46/T47</f>
        <v>1.032288430763438</v>
      </c>
      <c r="U48" s="23">
        <f>U46/U47</f>
        <v>0.8129957291031117</v>
      </c>
      <c r="Z48" s="53"/>
    </row>
    <row r="49" spans="1:26" s="31" customFormat="1" ht="13.5">
      <c r="A49" s="214"/>
      <c r="B49" s="36"/>
      <c r="C49" s="172" t="s">
        <v>2</v>
      </c>
      <c r="D49" s="69">
        <v>1306</v>
      </c>
      <c r="E49" s="69">
        <f>1079+5</f>
        <v>1084</v>
      </c>
      <c r="F49" s="69">
        <f>1601+12</f>
        <v>1613</v>
      </c>
      <c r="G49" s="69">
        <f>801+16</f>
        <v>817</v>
      </c>
      <c r="H49" s="69">
        <f>188+1044+20</f>
        <v>1252</v>
      </c>
      <c r="I49" s="69">
        <f>243+600</f>
        <v>843</v>
      </c>
      <c r="J49" s="69">
        <f>504+860+4</f>
        <v>1368</v>
      </c>
      <c r="K49" s="69">
        <f>1507+2</f>
        <v>1509</v>
      </c>
      <c r="L49" s="69">
        <f>1002</f>
        <v>1002</v>
      </c>
      <c r="M49" s="69">
        <v>1204</v>
      </c>
      <c r="N49" s="69">
        <f>240+590</f>
        <v>830</v>
      </c>
      <c r="O49" s="137">
        <f>459+32</f>
        <v>491</v>
      </c>
      <c r="P49" s="89">
        <f>SUM(D49:O49)</f>
        <v>13319</v>
      </c>
      <c r="Q49" s="89">
        <f>SUM(D49:O49)</f>
        <v>13319</v>
      </c>
      <c r="S49" s="39">
        <f>SUM(D49:L49)</f>
        <v>10794</v>
      </c>
      <c r="T49" s="105">
        <f>SUM(J49:O49)</f>
        <v>6404</v>
      </c>
      <c r="U49" s="105">
        <f>SUM(D49:E49)</f>
        <v>2390</v>
      </c>
      <c r="Z49" s="62" t="e">
        <f>#REF!+T49</f>
        <v>#REF!</v>
      </c>
    </row>
    <row r="50" spans="1:26" ht="13.5">
      <c r="A50" s="214"/>
      <c r="B50" s="18"/>
      <c r="C50" s="172"/>
      <c r="D50" s="98">
        <v>726</v>
      </c>
      <c r="E50" s="98">
        <v>1334</v>
      </c>
      <c r="F50" s="98">
        <v>931</v>
      </c>
      <c r="G50" s="98">
        <v>1139</v>
      </c>
      <c r="H50" s="98">
        <v>1385</v>
      </c>
      <c r="I50" s="98">
        <v>965</v>
      </c>
      <c r="J50" s="98">
        <v>1296</v>
      </c>
      <c r="K50" s="98">
        <v>1358</v>
      </c>
      <c r="L50" s="98">
        <v>1144</v>
      </c>
      <c r="M50" s="98">
        <v>1555</v>
      </c>
      <c r="N50" s="98">
        <v>1170</v>
      </c>
      <c r="O50" s="98">
        <v>1964</v>
      </c>
      <c r="P50" s="101">
        <f>SUMPRODUCT(D50:O50,((D49:O49)&lt;&gt;"")*1)</f>
        <v>14967</v>
      </c>
      <c r="Q50" s="101">
        <f>SUM(D50:O50)</f>
        <v>14967</v>
      </c>
      <c r="S50" s="138">
        <f>SUM(D50:I50)</f>
        <v>6480</v>
      </c>
      <c r="T50" s="102">
        <f>SUM(J50:O50)</f>
        <v>8487</v>
      </c>
      <c r="U50" s="102">
        <f>SUM(D50:E50)</f>
        <v>2060</v>
      </c>
      <c r="Z50" s="55" t="e">
        <f>#REF!+T50</f>
        <v>#REF!</v>
      </c>
    </row>
    <row r="51" spans="1:26" ht="13.5">
      <c r="A51" s="214"/>
      <c r="B51" s="19"/>
      <c r="C51" s="174"/>
      <c r="D51" s="17">
        <f aca="true" t="shared" si="43" ref="D51:Q51">D49/D50</f>
        <v>1.7988980716253444</v>
      </c>
      <c r="E51" s="17">
        <f t="shared" si="43"/>
        <v>0.8125937031484258</v>
      </c>
      <c r="F51" s="17">
        <f t="shared" si="43"/>
        <v>1.732545649838883</v>
      </c>
      <c r="G51" s="164">
        <f t="shared" si="43"/>
        <v>0.7172958735733099</v>
      </c>
      <c r="H51" s="164">
        <f t="shared" si="43"/>
        <v>0.903971119133574</v>
      </c>
      <c r="I51" s="164">
        <f t="shared" si="43"/>
        <v>0.8735751295336788</v>
      </c>
      <c r="J51" s="164">
        <f t="shared" si="43"/>
        <v>1.0555555555555556</v>
      </c>
      <c r="K51" s="164">
        <f t="shared" si="43"/>
        <v>1.1111929307805597</v>
      </c>
      <c r="L51" s="164">
        <f t="shared" si="43"/>
        <v>0.8758741258741258</v>
      </c>
      <c r="M51" s="164">
        <f t="shared" si="43"/>
        <v>0.7742765273311897</v>
      </c>
      <c r="N51" s="164">
        <f t="shared" si="43"/>
        <v>0.7094017094017094</v>
      </c>
      <c r="O51" s="164">
        <f t="shared" si="43"/>
        <v>0.25</v>
      </c>
      <c r="P51" s="90">
        <f t="shared" si="43"/>
        <v>0.8898910937395603</v>
      </c>
      <c r="Q51" s="90">
        <f t="shared" si="43"/>
        <v>0.8898910937395603</v>
      </c>
      <c r="S51" s="84">
        <f>S49/S50</f>
        <v>1.6657407407407407</v>
      </c>
      <c r="T51" s="17">
        <f>T49/T50</f>
        <v>0.7545658065276305</v>
      </c>
      <c r="U51" s="17">
        <f>U49/U50</f>
        <v>1.1601941747572815</v>
      </c>
      <c r="Z51" s="51"/>
    </row>
    <row r="52" spans="1:26" s="31" customFormat="1" ht="13.5">
      <c r="A52" s="214"/>
      <c r="B52" s="209" t="s">
        <v>30</v>
      </c>
      <c r="C52" s="210"/>
      <c r="D52" s="92">
        <f aca="true" t="shared" si="44" ref="D52:Q53">D55+D58</f>
        <v>3105</v>
      </c>
      <c r="E52" s="92">
        <f t="shared" si="44"/>
        <v>3702</v>
      </c>
      <c r="F52" s="92">
        <f t="shared" si="44"/>
        <v>5701</v>
      </c>
      <c r="G52" s="92">
        <f t="shared" si="44"/>
        <v>4184</v>
      </c>
      <c r="H52" s="35">
        <f t="shared" si="44"/>
        <v>3897</v>
      </c>
      <c r="I52" s="35">
        <f t="shared" si="44"/>
        <v>4781</v>
      </c>
      <c r="J52" s="35">
        <f t="shared" si="44"/>
        <v>3984</v>
      </c>
      <c r="K52" s="35">
        <f t="shared" si="44"/>
        <v>4140</v>
      </c>
      <c r="L52" s="35">
        <f t="shared" si="44"/>
        <v>3806</v>
      </c>
      <c r="M52" s="35">
        <f t="shared" si="44"/>
        <v>4892</v>
      </c>
      <c r="N52" s="35">
        <f t="shared" si="44"/>
        <v>3794</v>
      </c>
      <c r="O52" s="35">
        <f t="shared" si="44"/>
        <v>4806</v>
      </c>
      <c r="P52" s="139">
        <f t="shared" si="44"/>
        <v>50792</v>
      </c>
      <c r="Q52" s="139">
        <f t="shared" si="44"/>
        <v>50792</v>
      </c>
      <c r="S52" s="140">
        <f aca="true" t="shared" si="45" ref="S52:U53">S55+S58</f>
        <v>37300</v>
      </c>
      <c r="T52" s="141">
        <f t="shared" si="45"/>
        <v>25422</v>
      </c>
      <c r="U52" s="141">
        <f t="shared" si="45"/>
        <v>6807</v>
      </c>
      <c r="Z52" s="61" t="e">
        <f>Z55+Z58</f>
        <v>#REF!</v>
      </c>
    </row>
    <row r="53" spans="1:26" ht="13.5">
      <c r="A53" s="214"/>
      <c r="B53" s="211"/>
      <c r="C53" s="212"/>
      <c r="D53" s="129">
        <f aca="true" t="shared" si="46" ref="D53:Q53">D56+D59</f>
        <v>3192</v>
      </c>
      <c r="E53" s="129">
        <f t="shared" si="46"/>
        <v>4444</v>
      </c>
      <c r="F53" s="130">
        <f t="shared" si="46"/>
        <v>5168</v>
      </c>
      <c r="G53" s="129">
        <f t="shared" si="46"/>
        <v>6033</v>
      </c>
      <c r="H53" s="130">
        <f t="shared" si="44"/>
        <v>5017</v>
      </c>
      <c r="I53" s="129">
        <f t="shared" si="46"/>
        <v>4260</v>
      </c>
      <c r="J53" s="130">
        <f t="shared" si="46"/>
        <v>4075</v>
      </c>
      <c r="K53" s="129">
        <f t="shared" si="46"/>
        <v>3823</v>
      </c>
      <c r="L53" s="130">
        <f t="shared" si="46"/>
        <v>3819</v>
      </c>
      <c r="M53" s="129">
        <f t="shared" si="46"/>
        <v>3853</v>
      </c>
      <c r="N53" s="76">
        <f t="shared" si="46"/>
        <v>4955</v>
      </c>
      <c r="O53" s="131">
        <f t="shared" si="46"/>
        <v>4206</v>
      </c>
      <c r="P53" s="132">
        <f t="shared" si="46"/>
        <v>52845</v>
      </c>
      <c r="Q53" s="132">
        <f t="shared" si="46"/>
        <v>52845</v>
      </c>
      <c r="S53" s="133">
        <f t="shared" si="45"/>
        <v>28114</v>
      </c>
      <c r="T53" s="134">
        <f t="shared" si="45"/>
        <v>24731</v>
      </c>
      <c r="U53" s="134">
        <f t="shared" si="45"/>
        <v>7636</v>
      </c>
      <c r="Z53" s="55" t="e">
        <f>Z56+Z59</f>
        <v>#REF!</v>
      </c>
    </row>
    <row r="54" spans="1:26" ht="13.5">
      <c r="A54" s="214"/>
      <c r="B54" s="211"/>
      <c r="C54" s="212"/>
      <c r="D54" s="136">
        <f aca="true" t="shared" si="47" ref="D54:Q54">D52/D53</f>
        <v>0.9727443609022557</v>
      </c>
      <c r="E54" s="136">
        <f t="shared" si="47"/>
        <v>0.833033303330333</v>
      </c>
      <c r="F54" s="136">
        <f t="shared" si="47"/>
        <v>1.1031346749226005</v>
      </c>
      <c r="G54" s="136">
        <f t="shared" si="47"/>
        <v>0.6935189789491132</v>
      </c>
      <c r="H54" s="29">
        <f t="shared" si="47"/>
        <v>0.7767590193342635</v>
      </c>
      <c r="I54" s="29">
        <f t="shared" si="47"/>
        <v>1.122300469483568</v>
      </c>
      <c r="J54" s="29">
        <f t="shared" si="47"/>
        <v>0.9776687116564418</v>
      </c>
      <c r="K54" s="29">
        <f t="shared" si="47"/>
        <v>1.0829191734240124</v>
      </c>
      <c r="L54" s="29">
        <f t="shared" si="47"/>
        <v>0.9965959675307672</v>
      </c>
      <c r="M54" s="29">
        <f t="shared" si="47"/>
        <v>1.2696600051907605</v>
      </c>
      <c r="N54" s="29">
        <f t="shared" si="47"/>
        <v>0.7656912209889001</v>
      </c>
      <c r="O54" s="29">
        <f t="shared" si="47"/>
        <v>1.1426533523537803</v>
      </c>
      <c r="P54" s="135">
        <f t="shared" si="47"/>
        <v>0.9611505345822688</v>
      </c>
      <c r="Q54" s="135">
        <f t="shared" si="47"/>
        <v>0.9611505345822688</v>
      </c>
      <c r="S54" s="136">
        <f>S52/S53</f>
        <v>1.3267411254179413</v>
      </c>
      <c r="T54" s="136">
        <f>T52/T53</f>
        <v>1.0279406413003922</v>
      </c>
      <c r="U54" s="136">
        <f>U52/U53</f>
        <v>0.8914353064431639</v>
      </c>
      <c r="Z54" s="51"/>
    </row>
    <row r="55" spans="1:26" s="31" customFormat="1" ht="13.5">
      <c r="A55" s="214"/>
      <c r="B55" s="36"/>
      <c r="C55" s="208" t="s">
        <v>33</v>
      </c>
      <c r="D55" s="22">
        <v>1618</v>
      </c>
      <c r="E55" s="22">
        <v>1320</v>
      </c>
      <c r="F55" s="22">
        <v>1703</v>
      </c>
      <c r="G55" s="68">
        <v>1212</v>
      </c>
      <c r="H55" s="22">
        <v>1509</v>
      </c>
      <c r="I55" s="22">
        <v>1661</v>
      </c>
      <c r="J55" s="22">
        <f>252+982+84</f>
        <v>1318</v>
      </c>
      <c r="K55" s="22">
        <f>1475+46</f>
        <v>1521</v>
      </c>
      <c r="L55" s="22">
        <f>1521+20</f>
        <v>1541</v>
      </c>
      <c r="M55" s="22">
        <f>1314+58</f>
        <v>1372</v>
      </c>
      <c r="N55" s="22">
        <f>212+1036+32</f>
        <v>1280</v>
      </c>
      <c r="O55" s="45">
        <f>1191+138</f>
        <v>1329</v>
      </c>
      <c r="P55" s="85">
        <f>SUM(D55:O55)</f>
        <v>17384</v>
      </c>
      <c r="Q55" s="85">
        <f>SUM(D55:O55)</f>
        <v>17384</v>
      </c>
      <c r="S55" s="86">
        <f>SUM(D55:L55)</f>
        <v>13403</v>
      </c>
      <c r="T55" s="97">
        <f>SUM(J55:O55)</f>
        <v>8361</v>
      </c>
      <c r="U55" s="97">
        <f>SUM(D55:E55)</f>
        <v>2938</v>
      </c>
      <c r="Z55" s="61" t="e">
        <f>#REF!+T55</f>
        <v>#REF!</v>
      </c>
    </row>
    <row r="56" spans="1:26" ht="13.5">
      <c r="A56" s="214"/>
      <c r="B56" s="18"/>
      <c r="C56" s="172"/>
      <c r="D56" s="98">
        <v>1624</v>
      </c>
      <c r="E56" s="98">
        <v>1413</v>
      </c>
      <c r="F56" s="98">
        <v>1380</v>
      </c>
      <c r="G56" s="98">
        <v>2303</v>
      </c>
      <c r="H56" s="98">
        <v>2958</v>
      </c>
      <c r="I56" s="98">
        <v>2257</v>
      </c>
      <c r="J56" s="98">
        <v>2133</v>
      </c>
      <c r="K56" s="98">
        <v>1886</v>
      </c>
      <c r="L56" s="98">
        <v>1837</v>
      </c>
      <c r="M56" s="98">
        <v>2018</v>
      </c>
      <c r="N56" s="98">
        <v>2102</v>
      </c>
      <c r="O56" s="98">
        <v>1669</v>
      </c>
      <c r="P56" s="101">
        <f>SUMPRODUCT(D56:O56,((D55:O55)&lt;&gt;"")*1)</f>
        <v>23580</v>
      </c>
      <c r="Q56" s="101">
        <f>SUM(D56:O56)</f>
        <v>23580</v>
      </c>
      <c r="S56" s="91">
        <f>SUM(D56:I56)</f>
        <v>11935</v>
      </c>
      <c r="T56" s="102">
        <f>SUM(J56:O56)</f>
        <v>11645</v>
      </c>
      <c r="U56" s="102">
        <f>SUM(D56:E56)</f>
        <v>3037</v>
      </c>
      <c r="Z56" s="55" t="e">
        <f>#REF!+T56</f>
        <v>#REF!</v>
      </c>
    </row>
    <row r="57" spans="1:26" ht="13.5">
      <c r="A57" s="214"/>
      <c r="B57" s="18"/>
      <c r="C57" s="173"/>
      <c r="D57" s="23">
        <f aca="true" t="shared" si="48" ref="D57:Q57">D55/D56</f>
        <v>0.9963054187192119</v>
      </c>
      <c r="E57" s="23">
        <f t="shared" si="48"/>
        <v>0.9341825902335457</v>
      </c>
      <c r="F57" s="23">
        <f t="shared" si="48"/>
        <v>1.2340579710144928</v>
      </c>
      <c r="G57" s="23">
        <f t="shared" si="48"/>
        <v>0.5262700825010855</v>
      </c>
      <c r="H57" s="23">
        <f t="shared" si="48"/>
        <v>0.5101419878296146</v>
      </c>
      <c r="I57" s="23">
        <f t="shared" si="48"/>
        <v>0.7359326539654408</v>
      </c>
      <c r="J57" s="23">
        <f t="shared" si="48"/>
        <v>0.6179090482887951</v>
      </c>
      <c r="K57" s="23">
        <f t="shared" si="48"/>
        <v>0.8064687168610817</v>
      </c>
      <c r="L57" s="23">
        <f t="shared" si="48"/>
        <v>0.8388677191072401</v>
      </c>
      <c r="M57" s="23">
        <f t="shared" si="48"/>
        <v>0.6798810703666998</v>
      </c>
      <c r="N57" s="23">
        <f t="shared" si="48"/>
        <v>0.6089438629876308</v>
      </c>
      <c r="O57" s="23">
        <f t="shared" si="48"/>
        <v>0.7962852007189934</v>
      </c>
      <c r="P57" s="88">
        <f t="shared" si="48"/>
        <v>0.7372349448685327</v>
      </c>
      <c r="Q57" s="88">
        <f t="shared" si="48"/>
        <v>0.7372349448685327</v>
      </c>
      <c r="S57" s="23">
        <f>S55/S56</f>
        <v>1.1229995810640971</v>
      </c>
      <c r="T57" s="23">
        <f>T55/T56</f>
        <v>0.7179905538857879</v>
      </c>
      <c r="U57" s="23">
        <f>U55/U56</f>
        <v>0.9674020414883109</v>
      </c>
      <c r="Z57" s="53"/>
    </row>
    <row r="58" spans="1:26" s="31" customFormat="1" ht="13.5">
      <c r="A58" s="214"/>
      <c r="B58" s="36"/>
      <c r="C58" s="172" t="s">
        <v>2</v>
      </c>
      <c r="D58" s="37">
        <v>1487</v>
      </c>
      <c r="E58" s="37">
        <v>2382</v>
      </c>
      <c r="F58" s="37">
        <v>3998</v>
      </c>
      <c r="G58" s="37">
        <v>2972</v>
      </c>
      <c r="H58" s="37">
        <f>190+2118+80</f>
        <v>2388</v>
      </c>
      <c r="I58" s="37">
        <v>3120</v>
      </c>
      <c r="J58" s="37">
        <f>294+2270+102</f>
        <v>2666</v>
      </c>
      <c r="K58" s="37">
        <f>2499+120</f>
        <v>2619</v>
      </c>
      <c r="L58" s="37">
        <f>2173+92</f>
        <v>2265</v>
      </c>
      <c r="M58" s="37">
        <f>3388+132</f>
        <v>3520</v>
      </c>
      <c r="N58" s="37">
        <f>64+2334+116</f>
        <v>2514</v>
      </c>
      <c r="O58" s="46">
        <f>3353+124</f>
        <v>3477</v>
      </c>
      <c r="P58" s="89">
        <f>SUM(D58:O58)</f>
        <v>33408</v>
      </c>
      <c r="Q58" s="89">
        <f>SUM(D58:O58)</f>
        <v>33408</v>
      </c>
      <c r="S58" s="39">
        <f>SUM(D58:L58)</f>
        <v>23897</v>
      </c>
      <c r="T58" s="105">
        <f>SUM(J58:O58)</f>
        <v>17061</v>
      </c>
      <c r="U58" s="105">
        <f>SUM(D58:E58)</f>
        <v>3869</v>
      </c>
      <c r="Z58" s="62" t="e">
        <f>#REF!+T58</f>
        <v>#REF!</v>
      </c>
    </row>
    <row r="59" spans="1:26" ht="13.5">
      <c r="A59" s="214"/>
      <c r="B59" s="18"/>
      <c r="C59" s="172"/>
      <c r="D59" s="98">
        <v>1568</v>
      </c>
      <c r="E59" s="98">
        <v>3031</v>
      </c>
      <c r="F59" s="98">
        <v>3788</v>
      </c>
      <c r="G59" s="98">
        <v>3730</v>
      </c>
      <c r="H59" s="98">
        <v>2059</v>
      </c>
      <c r="I59" s="98">
        <v>2003</v>
      </c>
      <c r="J59" s="98">
        <v>1942</v>
      </c>
      <c r="K59" s="98">
        <v>1937</v>
      </c>
      <c r="L59" s="98">
        <v>1982</v>
      </c>
      <c r="M59" s="98">
        <v>1835</v>
      </c>
      <c r="N59" s="98">
        <v>2853</v>
      </c>
      <c r="O59" s="98">
        <v>2537</v>
      </c>
      <c r="P59" s="101">
        <f>SUMPRODUCT(D59:O59,((D58:O58)&lt;&gt;"")*1)</f>
        <v>29265</v>
      </c>
      <c r="Q59" s="101">
        <f>SUM(D59:O59)</f>
        <v>29265</v>
      </c>
      <c r="S59" s="91">
        <f>SUM(D59:I59)</f>
        <v>16179</v>
      </c>
      <c r="T59" s="102">
        <f>SUM(J59:O59)</f>
        <v>13086</v>
      </c>
      <c r="U59" s="102">
        <f>SUM(D59:E59)</f>
        <v>4599</v>
      </c>
      <c r="Z59" s="55" t="e">
        <f>#REF!+T59</f>
        <v>#REF!</v>
      </c>
    </row>
    <row r="60" spans="1:26" ht="14.25" thickBot="1">
      <c r="A60" s="215"/>
      <c r="B60" s="19"/>
      <c r="C60" s="174"/>
      <c r="D60" s="17">
        <f aca="true" t="shared" si="49" ref="D60:Q60">D58/D59</f>
        <v>0.9483418367346939</v>
      </c>
      <c r="E60" s="17">
        <f t="shared" si="49"/>
        <v>0.7858792477730122</v>
      </c>
      <c r="F60" s="17">
        <f t="shared" si="49"/>
        <v>1.0554382259767687</v>
      </c>
      <c r="G60" s="17">
        <f t="shared" si="49"/>
        <v>0.7967828418230563</v>
      </c>
      <c r="H60" s="17">
        <f t="shared" si="49"/>
        <v>1.159786304031083</v>
      </c>
      <c r="I60" s="17">
        <f t="shared" si="49"/>
        <v>1.5576635047428857</v>
      </c>
      <c r="J60" s="17">
        <f t="shared" si="49"/>
        <v>1.372811534500515</v>
      </c>
      <c r="K60" s="17">
        <f t="shared" si="49"/>
        <v>1.3520908621579764</v>
      </c>
      <c r="L60" s="17">
        <f t="shared" si="49"/>
        <v>1.142785065590313</v>
      </c>
      <c r="M60" s="17">
        <f t="shared" si="49"/>
        <v>1.9182561307901906</v>
      </c>
      <c r="N60" s="17">
        <f t="shared" si="49"/>
        <v>0.8811777076761304</v>
      </c>
      <c r="O60" s="17">
        <f t="shared" si="49"/>
        <v>1.370516357903035</v>
      </c>
      <c r="P60" s="93">
        <f t="shared" si="49"/>
        <v>1.1415684264479753</v>
      </c>
      <c r="Q60" s="93">
        <f t="shared" si="49"/>
        <v>1.1415684264479753</v>
      </c>
      <c r="S60" s="17">
        <f>S58/S59</f>
        <v>1.4770381358551208</v>
      </c>
      <c r="T60" s="17">
        <f>T58/T59</f>
        <v>1.3037597432370471</v>
      </c>
      <c r="U60" s="17">
        <f>U58/U59</f>
        <v>0.8412698412698413</v>
      </c>
      <c r="Z60" s="52"/>
    </row>
    <row r="61" ht="14.25" thickTop="1">
      <c r="D61" s="6" t="s">
        <v>24</v>
      </c>
    </row>
    <row r="62" ht="13.5">
      <c r="D62" s="6" t="s">
        <v>23</v>
      </c>
    </row>
    <row r="63" ht="13.5">
      <c r="D63" s="15" t="s">
        <v>25</v>
      </c>
    </row>
    <row r="64" ht="13.5">
      <c r="D64" s="7" t="s">
        <v>20</v>
      </c>
    </row>
    <row r="65" ht="0.75" customHeight="1"/>
    <row r="66" ht="14.25" thickBot="1">
      <c r="A66" s="67" t="s">
        <v>40</v>
      </c>
    </row>
    <row r="67" spans="1:26" ht="32.25" customHeight="1" thickTop="1">
      <c r="A67" s="200" t="s">
        <v>3</v>
      </c>
      <c r="B67" s="200"/>
      <c r="C67" s="201"/>
      <c r="D67" s="25" t="s">
        <v>6</v>
      </c>
      <c r="E67" s="25" t="s">
        <v>7</v>
      </c>
      <c r="F67" s="25" t="s">
        <v>8</v>
      </c>
      <c r="G67" s="25" t="s">
        <v>9</v>
      </c>
      <c r="H67" s="25" t="s">
        <v>10</v>
      </c>
      <c r="I67" s="25" t="s">
        <v>11</v>
      </c>
      <c r="J67" s="25" t="s">
        <v>12</v>
      </c>
      <c r="K67" s="25" t="s">
        <v>13</v>
      </c>
      <c r="L67" s="25" t="s">
        <v>14</v>
      </c>
      <c r="M67" s="25" t="s">
        <v>15</v>
      </c>
      <c r="N67" s="64" t="s">
        <v>16</v>
      </c>
      <c r="O67" s="24" t="s">
        <v>17</v>
      </c>
      <c r="P67" s="26" t="s">
        <v>42</v>
      </c>
      <c r="Q67" s="26" t="s">
        <v>1</v>
      </c>
      <c r="S67" s="44" t="s">
        <v>38</v>
      </c>
      <c r="T67" s="27" t="s">
        <v>18</v>
      </c>
      <c r="U67" s="27" t="s">
        <v>39</v>
      </c>
      <c r="W67" s="11" t="s">
        <v>0</v>
      </c>
      <c r="Z67" s="57" t="s">
        <v>1</v>
      </c>
    </row>
    <row r="68" spans="1:26" s="31" customFormat="1" ht="15" customHeight="1">
      <c r="A68" s="202" t="s">
        <v>4</v>
      </c>
      <c r="B68" s="203"/>
      <c r="C68" s="203"/>
      <c r="D68" s="30">
        <f aca="true" t="shared" si="50" ref="D68:Q69">D71+D80</f>
        <v>41074</v>
      </c>
      <c r="E68" s="30">
        <f t="shared" si="50"/>
        <v>43002</v>
      </c>
      <c r="F68" s="30">
        <f t="shared" si="50"/>
        <v>49209</v>
      </c>
      <c r="G68" s="30">
        <f t="shared" si="50"/>
        <v>46879</v>
      </c>
      <c r="H68" s="30">
        <f t="shared" si="50"/>
        <v>44426</v>
      </c>
      <c r="I68" s="30">
        <f t="shared" si="50"/>
        <v>49410</v>
      </c>
      <c r="J68" s="30">
        <f t="shared" si="50"/>
        <v>46708</v>
      </c>
      <c r="K68" s="30">
        <f t="shared" si="50"/>
        <v>47224</v>
      </c>
      <c r="L68" s="30">
        <f t="shared" si="50"/>
        <v>45575</v>
      </c>
      <c r="M68" s="30">
        <f t="shared" si="50"/>
        <v>53282</v>
      </c>
      <c r="N68" s="30">
        <f t="shared" si="50"/>
        <v>50952</v>
      </c>
      <c r="O68" s="30">
        <f t="shared" si="50"/>
        <v>49719</v>
      </c>
      <c r="P68" s="85">
        <f t="shared" si="50"/>
        <v>567460</v>
      </c>
      <c r="Q68" s="85">
        <f t="shared" si="50"/>
        <v>567460</v>
      </c>
      <c r="S68" s="86">
        <f aca="true" t="shared" si="51" ref="S68:U69">S71+S80</f>
        <v>274000</v>
      </c>
      <c r="T68" s="97">
        <f t="shared" si="51"/>
        <v>293460</v>
      </c>
      <c r="U68" s="97">
        <f t="shared" si="51"/>
        <v>84076</v>
      </c>
      <c r="W68" s="11" t="s">
        <v>19</v>
      </c>
      <c r="Z68" s="50">
        <f>Z71+Z80</f>
        <v>1985984</v>
      </c>
    </row>
    <row r="69" spans="1:26" ht="15" customHeight="1">
      <c r="A69" s="204"/>
      <c r="B69" s="205"/>
      <c r="C69" s="205"/>
      <c r="D69" s="70">
        <f aca="true" t="shared" si="52" ref="D69:Q69">D72+D81</f>
        <v>40487</v>
      </c>
      <c r="E69" s="98">
        <f t="shared" si="52"/>
        <v>42371</v>
      </c>
      <c r="F69" s="71">
        <f t="shared" si="52"/>
        <v>48016</v>
      </c>
      <c r="G69" s="70">
        <f t="shared" si="52"/>
        <v>47488</v>
      </c>
      <c r="H69" s="99">
        <f t="shared" si="50"/>
        <v>43267</v>
      </c>
      <c r="I69" s="98">
        <f t="shared" si="52"/>
        <v>46168</v>
      </c>
      <c r="J69" s="99">
        <f t="shared" si="52"/>
        <v>46100</v>
      </c>
      <c r="K69" s="98">
        <f t="shared" si="52"/>
        <v>45336</v>
      </c>
      <c r="L69" s="99">
        <f t="shared" si="52"/>
        <v>45160</v>
      </c>
      <c r="M69" s="98">
        <f t="shared" si="52"/>
        <v>43851</v>
      </c>
      <c r="N69" s="72">
        <f t="shared" si="52"/>
        <v>45993</v>
      </c>
      <c r="O69" s="100">
        <f t="shared" si="52"/>
        <v>47303</v>
      </c>
      <c r="P69" s="101">
        <f t="shared" si="52"/>
        <v>541540</v>
      </c>
      <c r="Q69" s="101">
        <f t="shared" si="52"/>
        <v>541540</v>
      </c>
      <c r="S69" s="91">
        <f t="shared" si="51"/>
        <v>267797</v>
      </c>
      <c r="T69" s="102">
        <f t="shared" si="51"/>
        <v>273743</v>
      </c>
      <c r="U69" s="102">
        <f t="shared" si="51"/>
        <v>82858</v>
      </c>
      <c r="W69" s="32" t="s">
        <v>44</v>
      </c>
      <c r="Z69" s="55">
        <f>Z72+Z81</f>
        <v>1889785</v>
      </c>
    </row>
    <row r="70" spans="1:26" ht="15" customHeight="1" thickBot="1">
      <c r="A70" s="206"/>
      <c r="B70" s="207"/>
      <c r="C70" s="207"/>
      <c r="D70" s="9">
        <f aca="true" t="shared" si="53" ref="D70:Q70">D68/D69</f>
        <v>1.0144984809938993</v>
      </c>
      <c r="E70" s="9">
        <f t="shared" si="53"/>
        <v>1.014892261216398</v>
      </c>
      <c r="F70" s="9">
        <f t="shared" si="53"/>
        <v>1.0248458847050983</v>
      </c>
      <c r="G70" s="9">
        <f t="shared" si="53"/>
        <v>0.9871757075471698</v>
      </c>
      <c r="H70" s="9">
        <f t="shared" si="53"/>
        <v>1.0267871588046318</v>
      </c>
      <c r="I70" s="9">
        <f t="shared" si="53"/>
        <v>1.0702217986484144</v>
      </c>
      <c r="J70" s="9">
        <f t="shared" si="53"/>
        <v>1.013188720173536</v>
      </c>
      <c r="K70" s="9">
        <f t="shared" si="53"/>
        <v>1.0416446091406388</v>
      </c>
      <c r="L70" s="9">
        <f t="shared" si="53"/>
        <v>1.0091895482728077</v>
      </c>
      <c r="M70" s="9">
        <f t="shared" si="53"/>
        <v>1.215069211648537</v>
      </c>
      <c r="N70" s="9">
        <f t="shared" si="53"/>
        <v>1.1078207553323332</v>
      </c>
      <c r="O70" s="9">
        <f t="shared" si="53"/>
        <v>1.0510749846732765</v>
      </c>
      <c r="P70" s="103">
        <f t="shared" si="53"/>
        <v>1.047863500387783</v>
      </c>
      <c r="Q70" s="103">
        <f t="shared" si="53"/>
        <v>1.047863500387783</v>
      </c>
      <c r="S70" s="104">
        <f>S68/S69</f>
        <v>1.0231630675474332</v>
      </c>
      <c r="T70" s="104">
        <f>T68/T69</f>
        <v>1.0720274125731069</v>
      </c>
      <c r="U70" s="104">
        <f>U68/U69</f>
        <v>1.0146998479326077</v>
      </c>
      <c r="W70" t="s">
        <v>43</v>
      </c>
      <c r="Z70" s="58"/>
    </row>
    <row r="71" spans="1:26" s="31" customFormat="1" ht="15" customHeight="1" thickTop="1">
      <c r="A71" s="184" t="s">
        <v>21</v>
      </c>
      <c r="B71" s="185"/>
      <c r="C71" s="185"/>
      <c r="D71" s="40">
        <f aca="true" t="shared" si="54" ref="D71:Q72">D74+D77</f>
        <v>19830</v>
      </c>
      <c r="E71" s="40">
        <f t="shared" si="54"/>
        <v>21808</v>
      </c>
      <c r="F71" s="40">
        <f t="shared" si="54"/>
        <v>24426</v>
      </c>
      <c r="G71" s="40">
        <f t="shared" si="54"/>
        <v>23032</v>
      </c>
      <c r="H71" s="40">
        <f t="shared" si="54"/>
        <v>21339</v>
      </c>
      <c r="I71" s="40">
        <f t="shared" si="54"/>
        <v>24622</v>
      </c>
      <c r="J71" s="40">
        <f t="shared" si="54"/>
        <v>23419</v>
      </c>
      <c r="K71" s="40">
        <f t="shared" si="54"/>
        <v>23297</v>
      </c>
      <c r="L71" s="40">
        <f t="shared" si="54"/>
        <v>23437</v>
      </c>
      <c r="M71" s="40">
        <f t="shared" si="54"/>
        <v>25664</v>
      </c>
      <c r="N71" s="40">
        <f t="shared" si="54"/>
        <v>25086</v>
      </c>
      <c r="O71" s="40">
        <f t="shared" si="54"/>
        <v>25840</v>
      </c>
      <c r="P71" s="142">
        <f t="shared" si="54"/>
        <v>281800</v>
      </c>
      <c r="Q71" s="142">
        <f t="shared" si="54"/>
        <v>281800</v>
      </c>
      <c r="S71" s="143">
        <f aca="true" t="shared" si="55" ref="S71:U72">S74+S77</f>
        <v>135057</v>
      </c>
      <c r="T71" s="144">
        <f t="shared" si="55"/>
        <v>146743</v>
      </c>
      <c r="U71" s="144">
        <f t="shared" si="55"/>
        <v>41638</v>
      </c>
      <c r="W71" t="s">
        <v>5</v>
      </c>
      <c r="Z71" s="50">
        <f>Z74+Z77</f>
        <v>987065</v>
      </c>
    </row>
    <row r="72" spans="1:26" ht="15" customHeight="1">
      <c r="A72" s="186"/>
      <c r="B72" s="187"/>
      <c r="C72" s="187"/>
      <c r="D72" s="77">
        <f aca="true" t="shared" si="56" ref="D72:Q72">D75+D78</f>
        <v>19439</v>
      </c>
      <c r="E72" s="145">
        <f t="shared" si="56"/>
        <v>23199</v>
      </c>
      <c r="F72" s="78">
        <f t="shared" si="56"/>
        <v>22220</v>
      </c>
      <c r="G72" s="77">
        <f t="shared" si="56"/>
        <v>24531</v>
      </c>
      <c r="H72" s="146">
        <f t="shared" si="54"/>
        <v>20668</v>
      </c>
      <c r="I72" s="145">
        <f t="shared" si="56"/>
        <v>23516</v>
      </c>
      <c r="J72" s="146">
        <f t="shared" si="56"/>
        <v>22461</v>
      </c>
      <c r="K72" s="145">
        <f t="shared" si="56"/>
        <v>21964</v>
      </c>
      <c r="L72" s="146">
        <f t="shared" si="56"/>
        <v>22676</v>
      </c>
      <c r="M72" s="145">
        <f t="shared" si="56"/>
        <v>22544</v>
      </c>
      <c r="N72" s="79">
        <f t="shared" si="56"/>
        <v>21446</v>
      </c>
      <c r="O72" s="147">
        <f t="shared" si="56"/>
        <v>24192</v>
      </c>
      <c r="P72" s="148">
        <f t="shared" si="56"/>
        <v>268856</v>
      </c>
      <c r="Q72" s="148">
        <f t="shared" si="56"/>
        <v>268856</v>
      </c>
      <c r="S72" s="149">
        <f t="shared" si="55"/>
        <v>133573</v>
      </c>
      <c r="T72" s="150">
        <f t="shared" si="55"/>
        <v>135283</v>
      </c>
      <c r="U72" s="150">
        <f t="shared" si="55"/>
        <v>42638</v>
      </c>
      <c r="Z72" s="55">
        <f>Z75+Z78</f>
        <v>940064</v>
      </c>
    </row>
    <row r="73" spans="1:26" ht="15" customHeight="1">
      <c r="A73" s="186"/>
      <c r="B73" s="187"/>
      <c r="C73" s="187"/>
      <c r="D73" s="41">
        <f aca="true" t="shared" si="57" ref="D73:Q73">D71/D72</f>
        <v>1.020114203405525</v>
      </c>
      <c r="E73" s="41">
        <f t="shared" si="57"/>
        <v>0.9400405189878874</v>
      </c>
      <c r="F73" s="41">
        <f t="shared" si="57"/>
        <v>1.0992799279927994</v>
      </c>
      <c r="G73" s="41">
        <f t="shared" si="57"/>
        <v>0.9388936447759977</v>
      </c>
      <c r="H73" s="41">
        <f t="shared" si="57"/>
        <v>1.0324656473775886</v>
      </c>
      <c r="I73" s="41">
        <f t="shared" si="57"/>
        <v>1.0470318081306345</v>
      </c>
      <c r="J73" s="41">
        <f t="shared" si="57"/>
        <v>1.0426517074039445</v>
      </c>
      <c r="K73" s="41">
        <f t="shared" si="57"/>
        <v>1.0606902203605901</v>
      </c>
      <c r="L73" s="41">
        <f t="shared" si="57"/>
        <v>1.0335597107073557</v>
      </c>
      <c r="M73" s="41">
        <f t="shared" si="57"/>
        <v>1.1383960255500354</v>
      </c>
      <c r="N73" s="41">
        <f t="shared" si="57"/>
        <v>1.169728620721813</v>
      </c>
      <c r="O73" s="41">
        <f t="shared" si="57"/>
        <v>1.068121693121693</v>
      </c>
      <c r="P73" s="151">
        <f t="shared" si="57"/>
        <v>1.0481447317523136</v>
      </c>
      <c r="Q73" s="151">
        <f t="shared" si="57"/>
        <v>1.0481447317523136</v>
      </c>
      <c r="S73" s="152">
        <f>S71/S72</f>
        <v>1.0111100297215754</v>
      </c>
      <c r="T73" s="152">
        <f>T71/T72</f>
        <v>1.0847113088858171</v>
      </c>
      <c r="U73" s="152">
        <f>U71/U72</f>
        <v>0.9765467423425114</v>
      </c>
      <c r="Z73" s="59"/>
    </row>
    <row r="74" spans="1:26" s="31" customFormat="1" ht="15" customHeight="1">
      <c r="A74" s="188"/>
      <c r="B74" s="179" t="s">
        <v>33</v>
      </c>
      <c r="C74" s="181"/>
      <c r="D74" s="20">
        <f aca="true" t="shared" si="58" ref="D74:O75">D19+D46</f>
        <v>15256</v>
      </c>
      <c r="E74" s="20">
        <f t="shared" si="58"/>
        <v>17105</v>
      </c>
      <c r="F74" s="20">
        <f t="shared" si="58"/>
        <v>20555</v>
      </c>
      <c r="G74" s="20">
        <f t="shared" si="58"/>
        <v>19822</v>
      </c>
      <c r="H74" s="20">
        <f>H19+H46</f>
        <v>16550</v>
      </c>
      <c r="I74" s="20">
        <f t="shared" si="58"/>
        <v>20248</v>
      </c>
      <c r="J74" s="20">
        <f t="shared" si="58"/>
        <v>18798</v>
      </c>
      <c r="K74" s="20">
        <f t="shared" si="58"/>
        <v>17261</v>
      </c>
      <c r="L74" s="20">
        <f t="shared" si="58"/>
        <v>18809</v>
      </c>
      <c r="M74" s="20">
        <f t="shared" si="58"/>
        <v>20823</v>
      </c>
      <c r="N74" s="20">
        <f t="shared" si="58"/>
        <v>18734</v>
      </c>
      <c r="O74" s="20">
        <f t="shared" si="58"/>
        <v>20676</v>
      </c>
      <c r="P74" s="85">
        <f>SUM(D74:O74)</f>
        <v>224637</v>
      </c>
      <c r="Q74" s="85">
        <f>SUM(D74:O74)</f>
        <v>224637</v>
      </c>
      <c r="S74" s="86">
        <f>SUM(D74:I74)</f>
        <v>109536</v>
      </c>
      <c r="T74" s="97">
        <f>SUM(J74:O74)</f>
        <v>115101</v>
      </c>
      <c r="U74" s="97">
        <f>SUM(D74:E74)</f>
        <v>32361</v>
      </c>
      <c r="Z74" s="50">
        <f>SUM(L74:V74)</f>
        <v>785314</v>
      </c>
    </row>
    <row r="75" spans="1:26" ht="15" customHeight="1">
      <c r="A75" s="188"/>
      <c r="B75" s="168"/>
      <c r="C75" s="182"/>
      <c r="D75" s="70">
        <f aca="true" t="shared" si="59" ref="D75:O75">D20+D47</f>
        <v>14595</v>
      </c>
      <c r="E75" s="98">
        <f t="shared" si="59"/>
        <v>18125</v>
      </c>
      <c r="F75" s="71">
        <f t="shared" si="59"/>
        <v>18231</v>
      </c>
      <c r="G75" s="70">
        <f t="shared" si="59"/>
        <v>19380</v>
      </c>
      <c r="H75" s="99">
        <f t="shared" si="58"/>
        <v>16022</v>
      </c>
      <c r="I75" s="98">
        <f t="shared" si="59"/>
        <v>18041</v>
      </c>
      <c r="J75" s="99">
        <f t="shared" si="59"/>
        <v>17581</v>
      </c>
      <c r="K75" s="98">
        <f t="shared" si="59"/>
        <v>17244</v>
      </c>
      <c r="L75" s="99">
        <f t="shared" si="59"/>
        <v>17296</v>
      </c>
      <c r="M75" s="98">
        <f t="shared" si="59"/>
        <v>18379</v>
      </c>
      <c r="N75" s="72">
        <f t="shared" si="59"/>
        <v>17771</v>
      </c>
      <c r="O75" s="100">
        <f t="shared" si="59"/>
        <v>19164</v>
      </c>
      <c r="P75" s="101">
        <f>P20+P47</f>
        <v>211829</v>
      </c>
      <c r="Q75" s="101">
        <f>SUM(D75:O75)</f>
        <v>211829</v>
      </c>
      <c r="S75" s="91">
        <f>SUM(D75:I75)</f>
        <v>104394</v>
      </c>
      <c r="T75" s="102">
        <f>SUM(J75:O75)</f>
        <v>107435</v>
      </c>
      <c r="U75" s="102">
        <f>SUM(D75:E75)</f>
        <v>32720</v>
      </c>
      <c r="Z75" s="55">
        <f>SUM(L75:V75)</f>
        <v>740817</v>
      </c>
    </row>
    <row r="76" spans="1:26" ht="15" customHeight="1">
      <c r="A76" s="188"/>
      <c r="B76" s="180"/>
      <c r="C76" s="183"/>
      <c r="D76" s="5">
        <f aca="true" t="shared" si="60" ref="D76:Q76">D74/D75</f>
        <v>1.0452894826995547</v>
      </c>
      <c r="E76" s="5">
        <f t="shared" si="60"/>
        <v>0.9437241379310345</v>
      </c>
      <c r="F76" s="5">
        <f t="shared" si="60"/>
        <v>1.1274751796390763</v>
      </c>
      <c r="G76" s="5">
        <f t="shared" si="60"/>
        <v>1.0228070175438597</v>
      </c>
      <c r="H76" s="5">
        <f t="shared" si="60"/>
        <v>1.0329546873049558</v>
      </c>
      <c r="I76" s="5">
        <f t="shared" si="60"/>
        <v>1.1223324649409678</v>
      </c>
      <c r="J76" s="5">
        <f t="shared" si="60"/>
        <v>1.06922245606052</v>
      </c>
      <c r="K76" s="5">
        <f t="shared" si="60"/>
        <v>1.0009858501507771</v>
      </c>
      <c r="L76" s="5">
        <f t="shared" si="60"/>
        <v>1.087476873265495</v>
      </c>
      <c r="M76" s="5">
        <f t="shared" si="60"/>
        <v>1.1329778551607814</v>
      </c>
      <c r="N76" s="5">
        <f t="shared" si="60"/>
        <v>1.054189409712453</v>
      </c>
      <c r="O76" s="5">
        <f t="shared" si="60"/>
        <v>1.078897933625548</v>
      </c>
      <c r="P76" s="108">
        <f t="shared" si="60"/>
        <v>1.0604638647210722</v>
      </c>
      <c r="Q76" s="108">
        <f t="shared" si="60"/>
        <v>1.0604638647210722</v>
      </c>
      <c r="S76" s="109">
        <f>S74/S75</f>
        <v>1.0492557043508248</v>
      </c>
      <c r="T76" s="109">
        <f>T74/T75</f>
        <v>1.0713547726532322</v>
      </c>
      <c r="U76" s="109">
        <f>U74/U75</f>
        <v>0.9890281173594132</v>
      </c>
      <c r="Z76" s="60"/>
    </row>
    <row r="77" spans="1:26" s="31" customFormat="1" ht="15" customHeight="1">
      <c r="A77" s="188"/>
      <c r="B77" s="168" t="s">
        <v>2</v>
      </c>
      <c r="C77" s="182"/>
      <c r="D77" s="21">
        <f aca="true" t="shared" si="61" ref="D77:O78">D22+D49</f>
        <v>4574</v>
      </c>
      <c r="E77" s="21">
        <f t="shared" si="61"/>
        <v>4703</v>
      </c>
      <c r="F77" s="21">
        <f t="shared" si="61"/>
        <v>3871</v>
      </c>
      <c r="G77" s="21">
        <f t="shared" si="61"/>
        <v>3210</v>
      </c>
      <c r="H77" s="21">
        <f t="shared" si="61"/>
        <v>4789</v>
      </c>
      <c r="I77" s="21">
        <f t="shared" si="61"/>
        <v>4374</v>
      </c>
      <c r="J77" s="21">
        <f t="shared" si="61"/>
        <v>4621</v>
      </c>
      <c r="K77" s="21">
        <f t="shared" si="61"/>
        <v>6036</v>
      </c>
      <c r="L77" s="21">
        <f t="shared" si="61"/>
        <v>4628</v>
      </c>
      <c r="M77" s="21">
        <f t="shared" si="61"/>
        <v>4841</v>
      </c>
      <c r="N77" s="21">
        <f t="shared" si="61"/>
        <v>6352</v>
      </c>
      <c r="O77" s="21">
        <f t="shared" si="61"/>
        <v>5164</v>
      </c>
      <c r="P77" s="89">
        <f>SUM(D77:O77)</f>
        <v>57163</v>
      </c>
      <c r="Q77" s="89">
        <f>SUM(D77:O77)</f>
        <v>57163</v>
      </c>
      <c r="S77" s="39">
        <f>SUM(D77:I77)</f>
        <v>25521</v>
      </c>
      <c r="T77" s="105">
        <f>SUM(J77:O77)</f>
        <v>31642</v>
      </c>
      <c r="U77" s="105">
        <f>SUM(D77:E77)</f>
        <v>9277</v>
      </c>
      <c r="Z77" s="54">
        <f>SUM(L77:V77)</f>
        <v>201751</v>
      </c>
    </row>
    <row r="78" spans="1:26" ht="15" customHeight="1">
      <c r="A78" s="188"/>
      <c r="B78" s="168"/>
      <c r="C78" s="182"/>
      <c r="D78" s="70">
        <f aca="true" t="shared" si="62" ref="D78:O78">D23+D50</f>
        <v>4844</v>
      </c>
      <c r="E78" s="98">
        <f t="shared" si="62"/>
        <v>5074</v>
      </c>
      <c r="F78" s="71">
        <f t="shared" si="62"/>
        <v>3989</v>
      </c>
      <c r="G78" s="70">
        <f t="shared" si="62"/>
        <v>5151</v>
      </c>
      <c r="H78" s="99">
        <f t="shared" si="61"/>
        <v>4646</v>
      </c>
      <c r="I78" s="98">
        <f t="shared" si="62"/>
        <v>5475</v>
      </c>
      <c r="J78" s="99">
        <f t="shared" si="62"/>
        <v>4880</v>
      </c>
      <c r="K78" s="98">
        <f t="shared" si="62"/>
        <v>4720</v>
      </c>
      <c r="L78" s="99">
        <f t="shared" si="62"/>
        <v>5380</v>
      </c>
      <c r="M78" s="98">
        <f t="shared" si="62"/>
        <v>4165</v>
      </c>
      <c r="N78" s="72">
        <f t="shared" si="62"/>
        <v>3675</v>
      </c>
      <c r="O78" s="100">
        <f t="shared" si="62"/>
        <v>5028</v>
      </c>
      <c r="P78" s="101">
        <f>P23+P50</f>
        <v>57027</v>
      </c>
      <c r="Q78" s="101">
        <f>SUM(D78:O78)</f>
        <v>57027</v>
      </c>
      <c r="S78" s="91">
        <f>SUM(D78:I78)</f>
        <v>29179</v>
      </c>
      <c r="T78" s="102">
        <f>SUM(J78:O78)</f>
        <v>27848</v>
      </c>
      <c r="U78" s="102">
        <f>SUM(D78:E78)</f>
        <v>9918</v>
      </c>
      <c r="Z78" s="55">
        <f>SUM(L78:V78)</f>
        <v>199247</v>
      </c>
    </row>
    <row r="79" spans="1:26" ht="15" customHeight="1">
      <c r="A79" s="189"/>
      <c r="B79" s="180"/>
      <c r="C79" s="183"/>
      <c r="D79" s="5">
        <f aca="true" t="shared" si="63" ref="D79:Q79">D77/D78</f>
        <v>0.944260941370768</v>
      </c>
      <c r="E79" s="5">
        <f t="shared" si="63"/>
        <v>0.9268821442648798</v>
      </c>
      <c r="F79" s="5">
        <f t="shared" si="63"/>
        <v>0.9704186512910504</v>
      </c>
      <c r="G79" s="5">
        <f t="shared" si="63"/>
        <v>0.623179965055329</v>
      </c>
      <c r="H79" s="5">
        <f t="shared" si="63"/>
        <v>1.0307791648730091</v>
      </c>
      <c r="I79" s="5">
        <f t="shared" si="63"/>
        <v>0.7989041095890411</v>
      </c>
      <c r="J79" s="5">
        <f t="shared" si="63"/>
        <v>0.9469262295081967</v>
      </c>
      <c r="K79" s="5">
        <f t="shared" si="63"/>
        <v>1.278813559322034</v>
      </c>
      <c r="L79" s="5">
        <f t="shared" si="63"/>
        <v>0.8602230483271376</v>
      </c>
      <c r="M79" s="5">
        <f t="shared" si="63"/>
        <v>1.1623049219687875</v>
      </c>
      <c r="N79" s="5">
        <f t="shared" si="63"/>
        <v>1.7284353741496599</v>
      </c>
      <c r="O79" s="5">
        <f t="shared" si="63"/>
        <v>1.0270485282418456</v>
      </c>
      <c r="P79" s="108">
        <f t="shared" si="63"/>
        <v>1.0023848352534763</v>
      </c>
      <c r="Q79" s="108">
        <f t="shared" si="63"/>
        <v>1.0023848352534763</v>
      </c>
      <c r="S79" s="109">
        <f>S77/S78</f>
        <v>0.8746358682614209</v>
      </c>
      <c r="T79" s="109">
        <f>T77/T78</f>
        <v>1.1362395863257684</v>
      </c>
      <c r="U79" s="109">
        <f>U77/U78</f>
        <v>0.9353700342811051</v>
      </c>
      <c r="Z79" s="60"/>
    </row>
    <row r="80" spans="1:26" s="31" customFormat="1" ht="15" customHeight="1">
      <c r="A80" s="190" t="s">
        <v>22</v>
      </c>
      <c r="B80" s="191"/>
      <c r="C80" s="192"/>
      <c r="D80" s="42">
        <f aca="true" t="shared" si="64" ref="D80:Q81">D83+D86</f>
        <v>21244</v>
      </c>
      <c r="E80" s="42">
        <f t="shared" si="64"/>
        <v>21194</v>
      </c>
      <c r="F80" s="42">
        <f t="shared" si="64"/>
        <v>24783</v>
      </c>
      <c r="G80" s="42">
        <f t="shared" si="64"/>
        <v>23847</v>
      </c>
      <c r="H80" s="42">
        <f t="shared" si="64"/>
        <v>23087</v>
      </c>
      <c r="I80" s="42">
        <f t="shared" si="64"/>
        <v>24788</v>
      </c>
      <c r="J80" s="42">
        <f t="shared" si="64"/>
        <v>23289</v>
      </c>
      <c r="K80" s="42">
        <f t="shared" si="64"/>
        <v>23927</v>
      </c>
      <c r="L80" s="42">
        <f t="shared" si="64"/>
        <v>22138</v>
      </c>
      <c r="M80" s="42">
        <f t="shared" si="64"/>
        <v>27618</v>
      </c>
      <c r="N80" s="42">
        <f t="shared" si="64"/>
        <v>25866</v>
      </c>
      <c r="O80" s="42">
        <f t="shared" si="64"/>
        <v>23879</v>
      </c>
      <c r="P80" s="153">
        <f t="shared" si="64"/>
        <v>285660</v>
      </c>
      <c r="Q80" s="153">
        <f t="shared" si="64"/>
        <v>285660</v>
      </c>
      <c r="S80" s="154">
        <f aca="true" t="shared" si="65" ref="S80:U81">S83+S86</f>
        <v>138943</v>
      </c>
      <c r="T80" s="155">
        <f t="shared" si="65"/>
        <v>146717</v>
      </c>
      <c r="U80" s="155">
        <f t="shared" si="65"/>
        <v>42438</v>
      </c>
      <c r="Z80" s="54">
        <f>Z83+Z86</f>
        <v>998919</v>
      </c>
    </row>
    <row r="81" spans="1:26" ht="15" customHeight="1">
      <c r="A81" s="193"/>
      <c r="B81" s="194"/>
      <c r="C81" s="195"/>
      <c r="D81" s="80">
        <f aca="true" t="shared" si="66" ref="D81:Q81">D84+D87</f>
        <v>21048</v>
      </c>
      <c r="E81" s="156">
        <f t="shared" si="66"/>
        <v>19172</v>
      </c>
      <c r="F81" s="81">
        <f t="shared" si="66"/>
        <v>25796</v>
      </c>
      <c r="G81" s="80">
        <f t="shared" si="66"/>
        <v>22957</v>
      </c>
      <c r="H81" s="157">
        <f t="shared" si="64"/>
        <v>22599</v>
      </c>
      <c r="I81" s="156">
        <f t="shared" si="66"/>
        <v>22652</v>
      </c>
      <c r="J81" s="157">
        <f t="shared" si="66"/>
        <v>23639</v>
      </c>
      <c r="K81" s="156">
        <f t="shared" si="66"/>
        <v>23372</v>
      </c>
      <c r="L81" s="157">
        <f t="shared" si="66"/>
        <v>22484</v>
      </c>
      <c r="M81" s="156">
        <f t="shared" si="66"/>
        <v>21307</v>
      </c>
      <c r="N81" s="82">
        <f t="shared" si="66"/>
        <v>24547</v>
      </c>
      <c r="O81" s="158">
        <f t="shared" si="66"/>
        <v>23111</v>
      </c>
      <c r="P81" s="159">
        <f t="shared" si="66"/>
        <v>272684</v>
      </c>
      <c r="Q81" s="159">
        <f t="shared" si="66"/>
        <v>272684</v>
      </c>
      <c r="S81" s="160">
        <f t="shared" si="65"/>
        <v>134224</v>
      </c>
      <c r="T81" s="161">
        <f t="shared" si="65"/>
        <v>138460</v>
      </c>
      <c r="U81" s="161">
        <f t="shared" si="65"/>
        <v>40220</v>
      </c>
      <c r="Z81" s="55">
        <f>Z84+Z87</f>
        <v>949721</v>
      </c>
    </row>
    <row r="82" spans="1:26" ht="15" customHeight="1">
      <c r="A82" s="193"/>
      <c r="B82" s="194"/>
      <c r="C82" s="195"/>
      <c r="D82" s="43">
        <f aca="true" t="shared" si="67" ref="D82:Q82">D80/D81</f>
        <v>1.0093120486507032</v>
      </c>
      <c r="E82" s="43">
        <f t="shared" si="67"/>
        <v>1.1054663050281661</v>
      </c>
      <c r="F82" s="43">
        <f t="shared" si="67"/>
        <v>0.960730345790045</v>
      </c>
      <c r="G82" s="43">
        <f t="shared" si="67"/>
        <v>1.0387681317245285</v>
      </c>
      <c r="H82" s="43">
        <f t="shared" si="67"/>
        <v>1.0215938758352139</v>
      </c>
      <c r="I82" s="43">
        <f t="shared" si="67"/>
        <v>1.0942963093766556</v>
      </c>
      <c r="J82" s="43">
        <f t="shared" si="67"/>
        <v>0.9851939591353273</v>
      </c>
      <c r="K82" s="43">
        <f t="shared" si="67"/>
        <v>1.0237463631696047</v>
      </c>
      <c r="L82" s="43">
        <f t="shared" si="67"/>
        <v>0.9846112791318271</v>
      </c>
      <c r="M82" s="43">
        <f t="shared" si="67"/>
        <v>1.2961937391467593</v>
      </c>
      <c r="N82" s="43">
        <f t="shared" si="67"/>
        <v>1.0537336538069826</v>
      </c>
      <c r="O82" s="43">
        <f t="shared" si="67"/>
        <v>1.033230928994851</v>
      </c>
      <c r="P82" s="162">
        <f t="shared" si="67"/>
        <v>1.0475862170130994</v>
      </c>
      <c r="Q82" s="162">
        <f t="shared" si="67"/>
        <v>1.0475862170130994</v>
      </c>
      <c r="S82" s="163">
        <f>S80/S81</f>
        <v>1.035157646918584</v>
      </c>
      <c r="T82" s="163">
        <f>T80/T81</f>
        <v>1.0596345514950165</v>
      </c>
      <c r="U82" s="163">
        <f>U80/U81</f>
        <v>1.055146693187469</v>
      </c>
      <c r="Z82" s="59"/>
    </row>
    <row r="83" spans="1:26" s="31" customFormat="1" ht="15" customHeight="1">
      <c r="A83" s="196"/>
      <c r="B83" s="179" t="s">
        <v>33</v>
      </c>
      <c r="C83" s="181"/>
      <c r="D83" s="20">
        <f aca="true" t="shared" si="68" ref="D83:O84">D28+D55</f>
        <v>19023</v>
      </c>
      <c r="E83" s="20">
        <f t="shared" si="68"/>
        <v>17765</v>
      </c>
      <c r="F83" s="20">
        <f t="shared" si="68"/>
        <v>19334</v>
      </c>
      <c r="G83" s="20">
        <f t="shared" si="68"/>
        <v>19365</v>
      </c>
      <c r="H83" s="20">
        <f t="shared" si="68"/>
        <v>19342</v>
      </c>
      <c r="I83" s="20">
        <f t="shared" si="68"/>
        <v>20443</v>
      </c>
      <c r="J83" s="20">
        <f t="shared" si="68"/>
        <v>19443</v>
      </c>
      <c r="K83" s="20">
        <f t="shared" si="68"/>
        <v>19710</v>
      </c>
      <c r="L83" s="20">
        <f t="shared" si="68"/>
        <v>18104</v>
      </c>
      <c r="M83" s="20">
        <f t="shared" si="68"/>
        <v>21465</v>
      </c>
      <c r="N83" s="20">
        <f t="shared" si="68"/>
        <v>21446</v>
      </c>
      <c r="O83" s="20">
        <f t="shared" si="68"/>
        <v>19534</v>
      </c>
      <c r="P83" s="85">
        <f>SUM(D83:O83)</f>
        <v>234974</v>
      </c>
      <c r="Q83" s="85">
        <f>SUM(D83:O83)</f>
        <v>234974</v>
      </c>
      <c r="S83" s="86">
        <f>SUM(D83:I83)</f>
        <v>115272</v>
      </c>
      <c r="T83" s="97">
        <f>SUM(J83:O83)</f>
        <v>119702</v>
      </c>
      <c r="U83" s="97">
        <f>SUM(D83:E83)</f>
        <v>36788</v>
      </c>
      <c r="Z83" s="50">
        <f>SUM(L83:V83)</f>
        <v>822259</v>
      </c>
    </row>
    <row r="84" spans="1:26" ht="15" customHeight="1">
      <c r="A84" s="196"/>
      <c r="B84" s="168"/>
      <c r="C84" s="182"/>
      <c r="D84" s="70">
        <f aca="true" t="shared" si="69" ref="D84:O84">D29+D56</f>
        <v>18799</v>
      </c>
      <c r="E84" s="70">
        <f t="shared" si="69"/>
        <v>14716</v>
      </c>
      <c r="F84" s="70">
        <f t="shared" si="69"/>
        <v>20415</v>
      </c>
      <c r="G84" s="70">
        <f t="shared" si="69"/>
        <v>18440</v>
      </c>
      <c r="H84" s="70">
        <f t="shared" si="68"/>
        <v>19380</v>
      </c>
      <c r="I84" s="70">
        <f t="shared" si="69"/>
        <v>19090</v>
      </c>
      <c r="J84" s="70">
        <f t="shared" si="69"/>
        <v>20505</v>
      </c>
      <c r="K84" s="70">
        <f t="shared" si="69"/>
        <v>20762</v>
      </c>
      <c r="L84" s="70">
        <f t="shared" si="69"/>
        <v>19379</v>
      </c>
      <c r="M84" s="70">
        <f t="shared" si="69"/>
        <v>18781</v>
      </c>
      <c r="N84" s="70">
        <f t="shared" si="69"/>
        <v>20569</v>
      </c>
      <c r="O84" s="70">
        <f t="shared" si="69"/>
        <v>19505</v>
      </c>
      <c r="P84" s="101">
        <f>P29+P56</f>
        <v>230341</v>
      </c>
      <c r="Q84" s="101">
        <f>SUM(D84:O84)</f>
        <v>230341</v>
      </c>
      <c r="S84" s="91">
        <f>SUM(D84:I84)</f>
        <v>110840</v>
      </c>
      <c r="T84" s="102">
        <f>SUM(J84:O84)</f>
        <v>119501</v>
      </c>
      <c r="U84" s="102">
        <f>SUM(D84:E84)</f>
        <v>33515</v>
      </c>
      <c r="Z84" s="55">
        <f>SUM(L84:V84)</f>
        <v>802772</v>
      </c>
    </row>
    <row r="85" spans="1:26" ht="15" customHeight="1">
      <c r="A85" s="196"/>
      <c r="B85" s="180"/>
      <c r="C85" s="183"/>
      <c r="D85" s="5">
        <f aca="true" t="shared" si="70" ref="D85:Q85">D83/D84</f>
        <v>1.0119155274216713</v>
      </c>
      <c r="E85" s="5">
        <f t="shared" si="70"/>
        <v>1.2071894536558847</v>
      </c>
      <c r="F85" s="5">
        <f t="shared" si="70"/>
        <v>0.9470487386725447</v>
      </c>
      <c r="G85" s="5">
        <f t="shared" si="70"/>
        <v>1.0501626898047722</v>
      </c>
      <c r="H85" s="5">
        <f t="shared" si="70"/>
        <v>0.9980392156862745</v>
      </c>
      <c r="I85" s="5">
        <f t="shared" si="70"/>
        <v>1.0708748035620743</v>
      </c>
      <c r="J85" s="5">
        <f t="shared" si="70"/>
        <v>0.9482077542062911</v>
      </c>
      <c r="K85" s="5">
        <f t="shared" si="70"/>
        <v>0.9493305076582218</v>
      </c>
      <c r="L85" s="5">
        <f t="shared" si="70"/>
        <v>0.9342071314309304</v>
      </c>
      <c r="M85" s="5">
        <f t="shared" si="70"/>
        <v>1.142910388158245</v>
      </c>
      <c r="N85" s="5">
        <f t="shared" si="70"/>
        <v>1.0426369779765667</v>
      </c>
      <c r="O85" s="5">
        <f t="shared" si="70"/>
        <v>1.0014867982568572</v>
      </c>
      <c r="P85" s="108">
        <f t="shared" si="70"/>
        <v>1.0201136575772443</v>
      </c>
      <c r="Q85" s="108">
        <f t="shared" si="70"/>
        <v>1.0201136575772443</v>
      </c>
      <c r="S85" s="109">
        <f>S83/S84</f>
        <v>1.0399855647780585</v>
      </c>
      <c r="T85" s="109">
        <f>T83/T84</f>
        <v>1.0016819942929347</v>
      </c>
      <c r="U85" s="109">
        <f>U83/U84</f>
        <v>1.0976577651797703</v>
      </c>
      <c r="Z85" s="60"/>
    </row>
    <row r="86" spans="1:26" s="31" customFormat="1" ht="15" customHeight="1">
      <c r="A86" s="196"/>
      <c r="B86" s="168" t="s">
        <v>2</v>
      </c>
      <c r="C86" s="182"/>
      <c r="D86" s="21">
        <f aca="true" t="shared" si="71" ref="D86:O87">D31+D58</f>
        <v>2221</v>
      </c>
      <c r="E86" s="21">
        <f t="shared" si="71"/>
        <v>3429</v>
      </c>
      <c r="F86" s="21">
        <f t="shared" si="71"/>
        <v>5449</v>
      </c>
      <c r="G86" s="21">
        <f t="shared" si="71"/>
        <v>4482</v>
      </c>
      <c r="H86" s="21">
        <f t="shared" si="71"/>
        <v>3745</v>
      </c>
      <c r="I86" s="21">
        <f t="shared" si="71"/>
        <v>4345</v>
      </c>
      <c r="J86" s="21">
        <f t="shared" si="71"/>
        <v>3846</v>
      </c>
      <c r="K86" s="21">
        <f t="shared" si="71"/>
        <v>4217</v>
      </c>
      <c r="L86" s="21">
        <f t="shared" si="71"/>
        <v>4034</v>
      </c>
      <c r="M86" s="21">
        <f t="shared" si="71"/>
        <v>6153</v>
      </c>
      <c r="N86" s="21">
        <f t="shared" si="71"/>
        <v>4420</v>
      </c>
      <c r="O86" s="21">
        <f t="shared" si="71"/>
        <v>4345</v>
      </c>
      <c r="P86" s="89">
        <f>SUM(D86:O86)</f>
        <v>50686</v>
      </c>
      <c r="Q86" s="89">
        <f>SUM(D86:O86)</f>
        <v>50686</v>
      </c>
      <c r="S86" s="39">
        <f>SUM(D86:I86)</f>
        <v>23671</v>
      </c>
      <c r="T86" s="105">
        <f>SUM(J86:O86)</f>
        <v>27015</v>
      </c>
      <c r="U86" s="105">
        <f>SUM(D86:E86)</f>
        <v>5650</v>
      </c>
      <c r="Z86" s="54">
        <f>SUM(L86:V86)</f>
        <v>176660</v>
      </c>
    </row>
    <row r="87" spans="1:26" ht="15" customHeight="1">
      <c r="A87" s="196"/>
      <c r="B87" s="168"/>
      <c r="C87" s="182"/>
      <c r="D87" s="70">
        <f aca="true" t="shared" si="72" ref="D87:O87">D32+D59</f>
        <v>2249</v>
      </c>
      <c r="E87" s="70">
        <f t="shared" si="72"/>
        <v>4456</v>
      </c>
      <c r="F87" s="70">
        <f t="shared" si="72"/>
        <v>5381</v>
      </c>
      <c r="G87" s="70">
        <f t="shared" si="72"/>
        <v>4517</v>
      </c>
      <c r="H87" s="70">
        <f t="shared" si="71"/>
        <v>3219</v>
      </c>
      <c r="I87" s="70">
        <f t="shared" si="72"/>
        <v>3562</v>
      </c>
      <c r="J87" s="70">
        <f t="shared" si="72"/>
        <v>3134</v>
      </c>
      <c r="K87" s="70">
        <f t="shared" si="72"/>
        <v>2610</v>
      </c>
      <c r="L87" s="70">
        <f t="shared" si="72"/>
        <v>3105</v>
      </c>
      <c r="M87" s="70">
        <f t="shared" si="72"/>
        <v>2526</v>
      </c>
      <c r="N87" s="70">
        <f t="shared" si="72"/>
        <v>3978</v>
      </c>
      <c r="O87" s="70">
        <f t="shared" si="72"/>
        <v>3606</v>
      </c>
      <c r="P87" s="101">
        <f>P32+P59</f>
        <v>42343</v>
      </c>
      <c r="Q87" s="101">
        <f>SUM(D87:O87)</f>
        <v>42343</v>
      </c>
      <c r="S87" s="91">
        <f>SUM(D87:I87)</f>
        <v>23384</v>
      </c>
      <c r="T87" s="102">
        <f>SUM(J87:O87)</f>
        <v>18959</v>
      </c>
      <c r="U87" s="102">
        <f>SUM(D87:E87)</f>
        <v>6705</v>
      </c>
      <c r="Z87" s="55">
        <f>SUM(L87:V87)</f>
        <v>146949</v>
      </c>
    </row>
    <row r="88" spans="1:26" ht="15" customHeight="1" thickBot="1">
      <c r="A88" s="197"/>
      <c r="B88" s="180"/>
      <c r="C88" s="183"/>
      <c r="D88" s="5">
        <f aca="true" t="shared" si="73" ref="D88:Q88">D86/D87</f>
        <v>0.9875500222321032</v>
      </c>
      <c r="E88" s="5">
        <f t="shared" si="73"/>
        <v>0.769524236983842</v>
      </c>
      <c r="F88" s="5">
        <f t="shared" si="73"/>
        <v>1.0126370563092362</v>
      </c>
      <c r="G88" s="5">
        <f t="shared" si="73"/>
        <v>0.9922514943546602</v>
      </c>
      <c r="H88" s="5">
        <f t="shared" si="73"/>
        <v>1.1634047840944393</v>
      </c>
      <c r="I88" s="5">
        <f t="shared" si="73"/>
        <v>1.2198203256597417</v>
      </c>
      <c r="J88" s="5">
        <f t="shared" si="73"/>
        <v>1.2271857051691129</v>
      </c>
      <c r="K88" s="5">
        <f t="shared" si="73"/>
        <v>1.6157088122605363</v>
      </c>
      <c r="L88" s="5">
        <f t="shared" si="73"/>
        <v>1.299194847020934</v>
      </c>
      <c r="M88" s="5">
        <f t="shared" si="73"/>
        <v>2.4358669833729216</v>
      </c>
      <c r="N88" s="5">
        <f t="shared" si="73"/>
        <v>1.1111111111111112</v>
      </c>
      <c r="O88" s="5">
        <f t="shared" si="73"/>
        <v>1.2049362174154188</v>
      </c>
      <c r="P88" s="110">
        <f t="shared" si="73"/>
        <v>1.1970337481992301</v>
      </c>
      <c r="Q88" s="110">
        <f t="shared" si="73"/>
        <v>1.1970337481992301</v>
      </c>
      <c r="S88" s="109">
        <f>S86/S87</f>
        <v>1.0122733492986657</v>
      </c>
      <c r="T88" s="109">
        <f>T86/T87</f>
        <v>1.4249169259982066</v>
      </c>
      <c r="U88" s="109">
        <f>U86/U87</f>
        <v>0.8426547352721849</v>
      </c>
      <c r="Z88" s="60"/>
    </row>
    <row r="89" ht="14.25" thickTop="1"/>
  </sheetData>
  <sheetProtection/>
  <mergeCells count="34">
    <mergeCell ref="B16:C18"/>
    <mergeCell ref="A3:C3"/>
    <mergeCell ref="A4:C6"/>
    <mergeCell ref="A7:C9"/>
    <mergeCell ref="B10:C12"/>
    <mergeCell ref="B13:C15"/>
    <mergeCell ref="A10:A15"/>
    <mergeCell ref="A16:A33"/>
    <mergeCell ref="C28:C30"/>
    <mergeCell ref="B25:C27"/>
    <mergeCell ref="C55:C57"/>
    <mergeCell ref="C58:C60"/>
    <mergeCell ref="B43:C45"/>
    <mergeCell ref="A34:C36"/>
    <mergeCell ref="A43:A60"/>
    <mergeCell ref="B37:C39"/>
    <mergeCell ref="C31:C33"/>
    <mergeCell ref="A67:C67"/>
    <mergeCell ref="A68:C70"/>
    <mergeCell ref="C19:C21"/>
    <mergeCell ref="C46:C48"/>
    <mergeCell ref="C49:C51"/>
    <mergeCell ref="C22:C24"/>
    <mergeCell ref="B52:C54"/>
    <mergeCell ref="B40:C42"/>
    <mergeCell ref="A37:A42"/>
    <mergeCell ref="A71:C73"/>
    <mergeCell ref="A74:A79"/>
    <mergeCell ref="B74:C76"/>
    <mergeCell ref="B77:C79"/>
    <mergeCell ref="A80:C82"/>
    <mergeCell ref="A83:A88"/>
    <mergeCell ref="B83:C85"/>
    <mergeCell ref="B86:C88"/>
  </mergeCells>
  <printOptions horizontalCentered="1"/>
  <pageMargins left="0.7874015748031497" right="0.7874015748031497" top="0.1968503937007874" bottom="0" header="0.5118110236220472" footer="0.5118110236220472"/>
  <pageSetup fitToHeight="2" horizontalDpi="600" verticalDpi="600" orientation="landscape" paperSize="9" scale="68" r:id="rId1"/>
  <rowBreaks count="1" manualBreakCount="1">
    <brk id="65"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花村</dc:creator>
  <cp:keywords/>
  <dc:description/>
  <cp:lastModifiedBy>建設技術企画課</cp:lastModifiedBy>
  <cp:lastPrinted>2018-12-19T06:06:12Z</cp:lastPrinted>
  <dcterms:created xsi:type="dcterms:W3CDTF">2004-09-25T04:39:54Z</dcterms:created>
  <dcterms:modified xsi:type="dcterms:W3CDTF">2019-01-11T02:24:57Z</dcterms:modified>
  <cp:category/>
  <cp:version/>
  <cp:contentType/>
  <cp:contentStatus/>
</cp:coreProperties>
</file>